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WJ4oCARcZKwHTvzewIIOhdjYghiVtlONYpqAHgHIa9j9fMRNp57Aa3i5VrLhIjkE9det9HF9ZR23PSG/5ikRng==" workbookSaltValue="RpuDMKPgH+GqDXRyUgt+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K26" i="2"/>
  <c r="N26" i="2"/>
  <c r="K30"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AL21" i="11"/>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E31" i="2"/>
  <c r="Q28" i="1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<sst xmlns="http://schemas.openxmlformats.org/spreadsheetml/2006/main" count="2682" uniqueCount="1193">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</sst>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YxNAd4AxTEjUVAmOjbmSV+98ifLWFEs05y+xuwY8FjDNzkqPtsJoIfNoqe7mSMdYZ39tZjPlkBRgCrmdBVPzg==" saltValue="ig30tM7rWnL2VPpRUJcY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v>
      </c>
      <c r="F10" s="240">
        <f>IF(ISNUMBER(Datos!K10),Datos!K10," - ")</f>
        <v>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38.808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334</v>
      </c>
      <c r="D17" s="239">
        <f>IF(ISNUMBER(IF(D_I="SI",Datos!I17,Datos!I17+Datos!AC17)),IF(D_I="SI",Datos!I17,Datos!I17+Datos!AC17)," - ")</f>
        <v>334</v>
      </c>
      <c r="E17" s="240">
        <f>IF(ISNUMBER(IF(D_I="SI",Datos!J17,Datos!J17+Datos!AD17)),IF(D_I="SI",Datos!J17,Datos!J17+Datos!AD17)," - ")</f>
        <v>283</v>
      </c>
      <c r="F17" s="240">
        <f>IF(ISNUMBER(IF(D_I="SI",Datos!K17,Datos!K17+Datos!AE17)),IF(D_I="SI",Datos!K17,Datos!K17+Datos!AE17)," - ")</f>
        <v>298</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-4.4910179640718563E-2</v>
      </c>
      <c r="L17" s="1402">
        <f>IF(ISNUMBER(NºAsuntos!I17/NºAsuntos!G17),(NºAsuntos!I17/NºAsuntos!G17)*11," - ")</f>
        <v>11.775167785234899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75</v>
      </c>
      <c r="D18" s="239">
        <f>IF(ISNUMBER(IF(D_I="SI",Datos!I18,Datos!I18+Datos!AC18)),IF(D_I="SI",Datos!I18,Datos!I18+Datos!AC18)," - ")</f>
        <v>75</v>
      </c>
      <c r="E18" s="240">
        <f>IF(ISNUMBER(IF(D_I="SI",Datos!J18,Datos!J18+Datos!AD18)),IF(D_I="SI",Datos!J18,Datos!J18+Datos!AD18)," - ")</f>
        <v>33</v>
      </c>
      <c r="F18" s="240">
        <f>IF(ISNUMBER(IF(D_I="SI",Datos!K18,Datos!K18+Datos!AE18)),IF(D_I="SI",Datos!K18,Datos!K18+Datos!AE18)," - ")</f>
        <v>19</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0.18666666666666668</v>
      </c>
      <c r="L18" s="1402">
        <f>IF(ISNUMBER(NºAsuntos!I18/NºAsuntos!G18),(NºAsuntos!I18/NºAsuntos!G18)*11," - ")</f>
        <v>51.526315789473685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409</v>
      </c>
      <c r="D23" s="1407">
        <f>SUBTOTAL(9,D16:D22)</f>
        <v>409</v>
      </c>
      <c r="E23" s="1408">
        <f>SUBTOTAL(9,E16:E22)</f>
        <v>316</v>
      </c>
      <c r="F23" s="1408">
        <f>SUBTOTAL(9,F16:F22)</f>
        <v>317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429</v>
      </c>
      <c r="D31" s="1435">
        <f>SUBTOTAL(9,D9:D30)</f>
        <v>429</v>
      </c>
      <c r="E31" s="1436">
        <f>SUBTOTAL(9,E9:E30)</f>
        <v>317</v>
      </c>
      <c r="F31" s="1436">
        <f>SUBTOTAL(9,F9:F30)</f>
        <v>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V6ssZJNDQZ6QV1+E+U92XCH5lQCX0cIZUzQ/mmSkfjl5KmOX4L+QRRX2exI7HHH/ut9QWrkKyxOOji8EFBvfA==" saltValue="xXduIFK1xuGDc3TOUpKh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hFcsc+AZc2VW8rf9kTQG+injOF5jXOx9uuRx6UNgaBzwcLNzY8JFVqf8L4lefPtK4KUkOvV7jzDlmX3qVaneg==" saltValue="fu2PbXar53i9rqwGLCE0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v>
      </c>
      <c r="K10" s="194">
        <v>1</v>
      </c>
      <c r="L10" s="194">
        <v>20</v>
      </c>
      <c r="M10" s="194">
        <v>0</v>
      </c>
      <c r="N10" s="194">
        <v>0</v>
      </c>
      <c r="O10" s="194">
        <v>0</v>
      </c>
      <c r="P10" s="194">
        <v>0</v>
      </c>
      <c r="Q10" s="194">
        <v>0</v>
      </c>
      <c r="R10" s="194">
        <v>6</v>
      </c>
      <c r="S10" s="194">
        <v>13</v>
      </c>
      <c r="T10" s="194">
        <v>2</v>
      </c>
      <c r="U10" s="194">
        <v>0</v>
      </c>
      <c r="V10" s="194">
        <v>15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v>
      </c>
      <c r="BA10" s="139">
        <f t="shared" si="0"/>
        <v>0</v>
      </c>
      <c r="BB10" s="139">
        <f t="shared" si="0"/>
        <v>15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686</v>
      </c>
      <c r="J12" s="196">
        <v>375</v>
      </c>
      <c r="K12" s="196">
        <v>227</v>
      </c>
      <c r="L12" s="196">
        <v>834</v>
      </c>
      <c r="M12" s="196">
        <v>57</v>
      </c>
      <c r="N12" s="196">
        <v>135</v>
      </c>
      <c r="O12" s="194">
        <v>93</v>
      </c>
      <c r="P12" s="196">
        <v>73</v>
      </c>
      <c r="Q12" s="196">
        <v>33</v>
      </c>
      <c r="R12" s="196">
        <v>1291</v>
      </c>
      <c r="S12" s="196">
        <v>574</v>
      </c>
      <c r="T12" s="196">
        <v>308</v>
      </c>
      <c r="U12" s="196">
        <v>326</v>
      </c>
      <c r="V12" s="196">
        <v>556</v>
      </c>
      <c r="W12" s="196">
        <v>96</v>
      </c>
      <c r="X12" s="202">
        <v>161</v>
      </c>
      <c r="Y12" s="204">
        <v>40</v>
      </c>
      <c r="Z12" s="194">
        <v>31</v>
      </c>
      <c r="AA12" s="194">
        <v>23</v>
      </c>
      <c r="AB12" s="194">
        <v>48</v>
      </c>
      <c r="AC12" s="196">
        <v>0</v>
      </c>
      <c r="AD12" s="196">
        <v>0</v>
      </c>
      <c r="AE12" s="196">
        <v>0</v>
      </c>
      <c r="AF12" s="202">
        <v>0</v>
      </c>
      <c r="AG12" s="215">
        <v>13</v>
      </c>
      <c r="AH12" s="196">
        <v>34</v>
      </c>
      <c r="AI12" s="196">
        <v>26</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587</v>
      </c>
      <c r="AZ12" s="137">
        <f t="shared" si="1"/>
        <v>342</v>
      </c>
      <c r="BA12" s="137">
        <f t="shared" si="1"/>
        <v>352</v>
      </c>
      <c r="BB12" s="137">
        <f t="shared" si="1"/>
        <v>577</v>
      </c>
      <c r="BC12" s="135">
        <f>IF(ISNUMBER(X12),X12," - ")</f>
        <v>161</v>
      </c>
      <c r="BD12" s="136">
        <f t="shared" si="2"/>
        <v>1.0292397660818713</v>
      </c>
      <c r="BE12" s="137">
        <f t="shared" si="3"/>
        <v>1.6392045454545454</v>
      </c>
      <c r="BF12" s="137">
        <f t="shared" si="4"/>
        <v>0.45738636363636365</v>
      </c>
      <c r="BG12" s="209">
        <f t="shared" si="5"/>
        <v>2.6392045454545454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706</v>
      </c>
      <c r="J14" s="197">
        <f t="shared" si="7"/>
        <v>376</v>
      </c>
      <c r="K14" s="197">
        <f t="shared" si="7"/>
        <v>228</v>
      </c>
      <c r="L14" s="197">
        <f t="shared" si="7"/>
        <v>854</v>
      </c>
      <c r="M14" s="197">
        <f t="shared" si="7"/>
        <v>57</v>
      </c>
      <c r="N14" s="197">
        <f t="shared" si="7"/>
        <v>135</v>
      </c>
      <c r="O14" s="197">
        <f t="shared" si="7"/>
        <v>93</v>
      </c>
      <c r="P14" s="197">
        <f t="shared" si="7"/>
        <v>73</v>
      </c>
      <c r="Q14" s="197">
        <f t="shared" si="7"/>
        <v>33</v>
      </c>
      <c r="R14" s="197">
        <f t="shared" si="7"/>
        <v>1297</v>
      </c>
      <c r="S14" s="197">
        <f t="shared" si="7"/>
        <v>587</v>
      </c>
      <c r="T14" s="197">
        <f t="shared" si="7"/>
        <v>310</v>
      </c>
      <c r="U14" s="197">
        <f t="shared" si="7"/>
        <v>326</v>
      </c>
      <c r="V14" s="197">
        <f t="shared" si="7"/>
        <v>571</v>
      </c>
      <c r="W14" s="197">
        <f t="shared" si="7"/>
        <v>96</v>
      </c>
      <c r="X14" s="197">
        <f t="shared" si="7"/>
        <v>161</v>
      </c>
      <c r="Y14" s="197">
        <f t="shared" si="7"/>
        <v>40</v>
      </c>
      <c r="Z14" s="197">
        <f t="shared" si="7"/>
        <v>31</v>
      </c>
      <c r="AA14" s="197">
        <f t="shared" si="7"/>
        <v>23</v>
      </c>
      <c r="AB14" s="197">
        <f t="shared" si="7"/>
        <v>48</v>
      </c>
      <c r="AC14" s="197">
        <f t="shared" si="7"/>
        <v>0</v>
      </c>
      <c r="AD14" s="197">
        <f t="shared" si="7"/>
        <v>0</v>
      </c>
      <c r="AE14" s="197">
        <f t="shared" si="7"/>
        <v>0</v>
      </c>
      <c r="AF14" s="197">
        <f>SUBTOTAL(9,AF9:AF13)</f>
        <v>0</v>
      </c>
      <c r="AG14" s="197">
        <f t="shared" ref="AG14:AT14" si="8">SUBTOTAL(9,AG8:AG13)</f>
        <v>13</v>
      </c>
      <c r="AH14" s="197">
        <f t="shared" si="8"/>
        <v>34</v>
      </c>
      <c r="AI14" s="197">
        <f t="shared" si="8"/>
        <v>26</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600</v>
      </c>
      <c r="AZ14" s="197">
        <f>SUBTOTAL(9,AZ8:AZ13)</f>
        <v>344</v>
      </c>
      <c r="BA14" s="197">
        <f>SUBTOTAL(9,BA8:BA13)</f>
        <v>352</v>
      </c>
      <c r="BB14" s="197">
        <f>SUBTOTAL(9,BB8:BB13)</f>
        <v>592</v>
      </c>
      <c r="BC14" s="197">
        <f>SUBTOTAL(9,BC8:BC13)</f>
        <v>161</v>
      </c>
      <c r="BD14" s="219">
        <f>IF(ISNUMBER(BA14/AZ14),BA14/AZ14," - ")</f>
        <v>1.0232558139534884</v>
      </c>
      <c r="BE14" s="220">
        <f>IF(ISNUMBER(BB14/BA14),BB14/BA14, " - ")</f>
        <v>1.6818181818181819</v>
      </c>
      <c r="BF14" s="220">
        <f>IF(ISNUMBER(BC14/BA14),BC14/BA14, " - ")</f>
        <v>0.45738636363636365</v>
      </c>
      <c r="BG14" s="221">
        <f>IF(ISNUMBER((AY14+AZ14)/BA14),(AY14+AZ14)/BA14," - ")</f>
        <v>2.6818181818181817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334</v>
      </c>
      <c r="J17" s="196">
        <v>283</v>
      </c>
      <c r="K17" s="196">
        <v>298</v>
      </c>
      <c r="L17" s="196">
        <v>319</v>
      </c>
      <c r="M17" s="196">
        <v>60</v>
      </c>
      <c r="N17" s="196">
        <v>167</v>
      </c>
      <c r="O17" s="194">
        <v>2</v>
      </c>
      <c r="P17" s="196">
        <v>17</v>
      </c>
      <c r="Q17" s="196">
        <v>7</v>
      </c>
      <c r="R17" s="196">
        <v>73</v>
      </c>
      <c r="S17" s="196">
        <v>338</v>
      </c>
      <c r="T17" s="196">
        <v>318</v>
      </c>
      <c r="U17" s="196">
        <v>377</v>
      </c>
      <c r="V17" s="196">
        <v>287</v>
      </c>
      <c r="W17" s="196">
        <v>48</v>
      </c>
      <c r="X17" s="202">
        <v>177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338</v>
      </c>
      <c r="AZ17" s="137">
        <f t="shared" si="10"/>
        <v>318</v>
      </c>
      <c r="BA17" s="137">
        <f t="shared" si="10"/>
        <v>377</v>
      </c>
      <c r="BB17" s="137">
        <f t="shared" si="10"/>
        <v>287</v>
      </c>
      <c r="BC17" s="135">
        <f>IF(ISNUMBER(W17),W17," - ")</f>
        <v>48</v>
      </c>
      <c r="BD17" s="136">
        <f t="shared" ref="BD17:BD22" si="12">IF(ISNUMBER(BA17/AZ17),BA17/AZ17," - ")</f>
        <v>1.1855345911949686</v>
      </c>
      <c r="BE17" s="137">
        <f t="shared" ref="BE17:BE22" si="13">IF(ISNUMBER(BB17/BA17),BB17/BA17, " - ")</f>
        <v>0.76127320954907163</v>
      </c>
      <c r="BF17" s="137">
        <f t="shared" ref="BF17:BF22" si="14">IF(ISNUMBER(BC17/BA17),BC17/BA17, " - ")</f>
        <v>0.1273209549071618</v>
      </c>
      <c r="BG17" s="209">
        <f t="shared" si="11"/>
        <v>1.7400530503978779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v>
      </c>
      <c r="J18" s="196">
        <v>33</v>
      </c>
      <c r="K18" s="196">
        <v>19</v>
      </c>
      <c r="L18" s="196">
        <v>89</v>
      </c>
      <c r="M18" s="196">
        <v>1</v>
      </c>
      <c r="N18" s="196">
        <v>11</v>
      </c>
      <c r="O18" s="196">
        <v>0</v>
      </c>
      <c r="P18" s="196">
        <v>0</v>
      </c>
      <c r="Q18" s="196">
        <v>0</v>
      </c>
      <c r="R18" s="196">
        <v>0</v>
      </c>
      <c r="S18" s="196">
        <v>43</v>
      </c>
      <c r="T18" s="196">
        <v>49</v>
      </c>
      <c r="U18" s="196">
        <v>27</v>
      </c>
      <c r="V18" s="196">
        <v>65</v>
      </c>
      <c r="W18" s="196">
        <v>1</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49</v>
      </c>
      <c r="BA18" s="139">
        <f t="shared" si="15"/>
        <v>27</v>
      </c>
      <c r="BB18" s="139">
        <f t="shared" si="15"/>
        <v>65</v>
      </c>
      <c r="BC18" s="135">
        <f>IF(ISNUMBER(W18),W18," - ")</f>
        <v>1</v>
      </c>
      <c r="BD18" s="136">
        <f>IF(ISNUMBER(BA18/AZ18),BA18/AZ18," - ")</f>
        <v>0.55102040816326525</v>
      </c>
      <c r="BE18" s="137">
        <f>IF(ISNUMBER(BB18/BA18),BB18/BA18, " - ")</f>
        <v>2.4074074074074074</v>
      </c>
      <c r="BF18" s="137">
        <f>IF(ISNUMBER(BC18/BA18),BC18/BA18, " - ")</f>
        <v>3.7037037037037035E-2</v>
      </c>
      <c r="BG18" s="209">
        <f>IF(ISNUMBER((AY18+AZ18)/BA18),(AY18+AZ18)/BA18," - ")</f>
        <v>3.4074074074074074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409</v>
      </c>
      <c r="J23" s="197">
        <f t="shared" si="21"/>
        <v>316</v>
      </c>
      <c r="K23" s="197">
        <f t="shared" si="21"/>
        <v>317</v>
      </c>
      <c r="L23" s="197">
        <f t="shared" si="21"/>
        <v>408</v>
      </c>
      <c r="M23" s="197">
        <f t="shared" si="21"/>
        <v>61</v>
      </c>
      <c r="N23" s="197">
        <f t="shared" si="21"/>
        <v>178</v>
      </c>
      <c r="O23" s="197">
        <f t="shared" si="21"/>
        <v>2</v>
      </c>
      <c r="P23" s="197">
        <f t="shared" si="21"/>
        <v>17</v>
      </c>
      <c r="Q23" s="197">
        <f t="shared" si="21"/>
        <v>7</v>
      </c>
      <c r="R23" s="197">
        <f t="shared" si="21"/>
        <v>73</v>
      </c>
      <c r="S23" s="197">
        <f t="shared" si="21"/>
        <v>381</v>
      </c>
      <c r="T23" s="197">
        <f t="shared" si="21"/>
        <v>367</v>
      </c>
      <c r="U23" s="197">
        <f t="shared" si="21"/>
        <v>404</v>
      </c>
      <c r="V23" s="197">
        <f t="shared" si="21"/>
        <v>352</v>
      </c>
      <c r="W23" s="197">
        <f t="shared" si="21"/>
        <v>49</v>
      </c>
      <c r="X23" s="197">
        <f t="shared" si="21"/>
        <v>201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381</v>
      </c>
      <c r="AZ23" s="197">
        <f>SUBTOTAL(9,AZ15:AZ22)</f>
        <v>367</v>
      </c>
      <c r="BA23" s="197">
        <f>SUBTOTAL(9,BA15:BA22)</f>
        <v>404</v>
      </c>
      <c r="BB23" s="197">
        <f>SUBTOTAL(9,BB15:BB22)</f>
        <v>352</v>
      </c>
      <c r="BC23" s="197">
        <f>SUBTOTAL(9,BC15:BC22)</f>
        <v>49</v>
      </c>
      <c r="BD23" s="219">
        <f>IF(ISNUMBER(BA23/AZ23),BA23/AZ23," - ")</f>
        <v>1.1008174386920981</v>
      </c>
      <c r="BE23" s="220">
        <f>IF(ISNUMBER(BB23/BA23),BB23/BA23, " - ")</f>
        <v>0.87128712871287128</v>
      </c>
      <c r="BF23" s="220">
        <f>IF(ISNUMBER(BC23/BA23),BC23/BA23, " - ")</f>
        <v>0.12128712871287128</v>
      </c>
      <c r="BG23" s="221">
        <f>IF(ISNUMBER((AY23+AZ23)/BA23),(AY23+AZ23)/BA23," - ")</f>
        <v>1.8514851485148516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1115</v>
      </c>
      <c r="J31" s="144">
        <f t="shared" si="36"/>
        <v>692</v>
      </c>
      <c r="K31" s="144">
        <f t="shared" si="36"/>
        <v>545</v>
      </c>
      <c r="L31" s="144">
        <f t="shared" si="36"/>
        <v>1262</v>
      </c>
      <c r="M31" s="144">
        <f t="shared" si="36"/>
        <v>118</v>
      </c>
      <c r="N31" s="144">
        <f t="shared" si="36"/>
        <v>313</v>
      </c>
      <c r="O31" s="144">
        <f t="shared" si="36"/>
        <v>95</v>
      </c>
      <c r="P31" s="144">
        <f t="shared" si="36"/>
        <v>90</v>
      </c>
      <c r="Q31" s="144">
        <f t="shared" si="36"/>
        <v>40</v>
      </c>
      <c r="R31" s="144">
        <f t="shared" si="36"/>
        <v>1370</v>
      </c>
      <c r="S31" s="144">
        <f t="shared" si="36"/>
        <v>968</v>
      </c>
      <c r="T31" s="144">
        <f t="shared" si="36"/>
        <v>677</v>
      </c>
      <c r="U31" s="144">
        <f t="shared" si="36"/>
        <v>730</v>
      </c>
      <c r="V31" s="144">
        <f t="shared" si="36"/>
        <v>923</v>
      </c>
      <c r="W31" s="144">
        <f t="shared" si="36"/>
        <v>145</v>
      </c>
      <c r="X31" s="144">
        <f t="shared" si="36"/>
        <v>362</v>
      </c>
      <c r="Y31" s="144">
        <f t="shared" si="36"/>
        <v>40</v>
      </c>
      <c r="Z31" s="144">
        <f t="shared" si="36"/>
        <v>31</v>
      </c>
      <c r="AA31" s="144">
        <f t="shared" si="36"/>
        <v>23</v>
      </c>
      <c r="AB31" s="144">
        <f t="shared" si="36"/>
        <v>48</v>
      </c>
      <c r="AC31" s="144">
        <f t="shared" si="36"/>
        <v>0</v>
      </c>
      <c r="AD31" s="144">
        <f t="shared" si="36"/>
        <v>0</v>
      </c>
      <c r="AE31" s="144">
        <f t="shared" si="36"/>
        <v>0</v>
      </c>
      <c r="AF31" s="144">
        <f t="shared" si="36"/>
        <v>0</v>
      </c>
      <c r="AG31" s="144">
        <f t="shared" si="36"/>
        <v>13</v>
      </c>
      <c r="AH31" s="144">
        <f t="shared" si="36"/>
        <v>34</v>
      </c>
      <c r="AI31" s="144">
        <f t="shared" si="36"/>
        <v>26</v>
      </c>
      <c r="AJ31" s="144">
        <f t="shared" si="36"/>
        <v>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981</v>
      </c>
      <c r="AZ31" s="144">
        <f>SUBTOTAL(9,AZ9:AZ30)</f>
        <v>711</v>
      </c>
      <c r="BA31" s="144">
        <f>SUBTOTAL(9,BA9:BA30)</f>
        <v>756</v>
      </c>
      <c r="BB31" s="144">
        <f>SUBTOTAL(9,BB9:BB30)</f>
        <v>944</v>
      </c>
      <c r="BC31" s="145">
        <f>SUBTOTAL(9,BC9:BC30)</f>
        <v>210</v>
      </c>
      <c r="BD31" s="227">
        <f>IF(ISNUMBER(BA31/AZ31),BA31/AZ31," - ")</f>
        <v>1.0632911392405062</v>
      </c>
      <c r="BE31" s="224">
        <f>IF(ISNUMBER(BB31/BA31),BB31/BA31, " - ")</f>
        <v>1.2486772486772486</v>
      </c>
      <c r="BF31" s="224">
        <f>IF(ISNUMBER(BC31/BA31),BC31/BA31, " - ")</f>
        <v>0.27777777777777779</v>
      </c>
      <c r="BG31" s="145">
        <f>IF(ISNUMBER((AY31+AZ31)/BA31),(AY31+AZ31)/BA31," - ")</f>
        <v>2.2380952380952381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2SMpKcV2vQicVz5HFK1i4/nfiBlvRICDFA/L4ZdR7B8xorcE2nfKUvsi1bMaGfC9CpbULOw9GziSwnDO6eFAg==" saltValue="QDkutgecLOMBu+R2Cev9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t4vmWL3mnE2IsTgUU96BaC4zEHNVbil5u4qVetpg830/qijx5yRyLZ8h/lpvLBeC4v50Au/x1QpT0d+NRufA==" saltValue="+Q07hzPQ3Shxz5hA34JT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1291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0.61576354679802958</v>
      </c>
      <c r="BH12" s="764">
        <f>IF(ISNUMBER(((IF(J_V="SI",Datos!L12/Datos!K12,(Datos!L12+Datos!AB12)/(Datos!K12+Datos!AA12)))*11)/factor_trimestre),((IF(J_V="SI",Datos!L12/Datos!K12,(Datos!L12+Datos!AB12)/(Datos!K12+Datos!AA12)))*11)/factor_trimestre," - ")</f>
        <v>10.584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3.1974420463629097E-2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33</v>
      </c>
      <c r="AD14" s="1198">
        <f t="shared" si="2"/>
        <v>0</v>
      </c>
      <c r="AE14" s="1198">
        <f t="shared" si="2"/>
        <v>0</v>
      </c>
      <c r="AF14" s="1198">
        <f t="shared" si="2"/>
        <v>20</v>
      </c>
      <c r="AG14" s="1198">
        <f t="shared" si="2"/>
        <v>0</v>
      </c>
      <c r="AH14" s="1198">
        <f t="shared" si="2"/>
        <v>48</v>
      </c>
      <c r="AI14" s="1198">
        <f t="shared" si="2"/>
        <v>0</v>
      </c>
      <c r="AJ14" s="1198">
        <f t="shared" si="2"/>
        <v>0</v>
      </c>
      <c r="AK14" s="1198">
        <f t="shared" si="2"/>
        <v>0</v>
      </c>
      <c r="AL14" s="1198">
        <f t="shared" si="2"/>
        <v>0</v>
      </c>
      <c r="AM14" s="1198">
        <f t="shared" si="2"/>
        <v>1297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135</v>
      </c>
      <c r="BE14" s="1198">
        <f t="shared" si="2"/>
        <v>0</v>
      </c>
      <c r="BF14" s="1198">
        <f t="shared" si="2"/>
        <v>0</v>
      </c>
      <c r="BG14" s="1198">
        <f>IF(ISNUMBER(Datos!K14/Datos!J14),Datos!K14/Datos!J14," - ")</f>
        <v>0.6063829787234043</v>
      </c>
      <c r="BH14" s="1202">
        <f>IF(ISNUMBER(((Datos!L14/Datos!K14)*11)/factor_trimestre),((Datos!L14/Datos!K14)*11)/factor_trimestre," - ")</f>
        <v>11.236842105263158</v>
      </c>
      <c r="BI14" s="1198">
        <f>IF(ISNUMBER('Resol  Asuntos'!D14/NºAsuntos!G14),'Resol  Asuntos'!D14/NºAsuntos!G14," - ")</f>
        <v>0.22709163346613545</v>
      </c>
      <c r="BJ14" s="1198" t="str">
        <f>IF(ISNUMBER(Datos!CI14/Datos!CJ14),Datos!CI14/Datos!CJ14," - ")</f>
        <v xml:space="preserve"> - </v>
      </c>
      <c r="BK14" s="1198">
        <f>SUBTOTAL(9,BK8:BK13)</f>
        <v>0</v>
      </c>
      <c r="BL14" s="1198">
        <f>IF(ISNUMBER((I14-AB14+L14)/(F14)),(I14-AB14+L14)/(F14)," - ")</f>
        <v>-0.05</v>
      </c>
      <c r="BM14" s="1203">
        <f>SUBTOTAL(9,BM9:BM13)</f>
        <v>3.1974420463629097E-2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334</v>
      </c>
      <c r="G17" s="743">
        <f>IF(ISNUMBER(IF(D_I="SI",Datos!I17,Datos!I17+Datos!AC17)),IF(D_I="SI",Datos!I17,Datos!I17+Datos!AC17)," - ")</f>
        <v>334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298</v>
      </c>
      <c r="AC17" s="240">
        <f>IF(ISNUMBER(Datos!Q17),Datos!Q17," - ")</f>
        <v>7</v>
      </c>
      <c r="AD17" s="374"/>
      <c r="AE17" s="562"/>
      <c r="AF17" s="741">
        <f>IF(ISNUMBER(IF(D_I="SI",Datos!L17,Datos!L17+Datos!AF17)),IF(D_I="SI",Datos!L17,Datos!L17+Datos!AF17)," - ")</f>
        <v>319</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167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1.0530035335689045</v>
      </c>
      <c r="BH17" s="764">
        <f>IF(ISNUMBER(((IF(D_I="SI",Datos!L17/Datos!K17,(Datos!L17+Datos!AF17)/(Datos!K17+Datos!AE17)))*11)/factor_trimestre),((IF(D_I="SI",Datos!L17/Datos!K17,(Datos!L17+Datos!AF17)/(Datos!K17+Datos!AE17)))*11)/factor_trimestre," - ")</f>
        <v>3.2114093959731544</v>
      </c>
      <c r="BI17" s="266">
        <f>IF(ISNUMBER('Resol  Asuntos'!D17/NºAsuntos!G17),'Resol  Asuntos'!D17/NºAsuntos!G17," - ")</f>
        <v>0.20134228187919462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89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0.5757575757575758</v>
      </c>
      <c r="BH18" s="764">
        <f>IF(ISNUMBER(((IF(D_I="SI",Datos!L18/Datos!K18,(Datos!L18+Datos!AF18)/(Datos!K18+Datos!AE18)))*11)/factor_trimestre),((IF(D_I="SI",Datos!L18/Datos!K18,(Datos!L18+Datos!AF18)/(Datos!K18+Datos!AE18)))*11)/factor_trimestre," - ")</f>
        <v>14.05263157894737</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334</v>
      </c>
      <c r="G23" s="1197">
        <f>SUBTOTAL(9,G16:G22)</f>
        <v>409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317</v>
      </c>
      <c r="AC23" s="1198">
        <f t="shared" si="5"/>
        <v>7</v>
      </c>
      <c r="AD23" s="1198">
        <f t="shared" si="5"/>
        <v>0</v>
      </c>
      <c r="AE23" s="1198">
        <f t="shared" si="5"/>
        <v>0</v>
      </c>
      <c r="AF23" s="1198">
        <f t="shared" si="5"/>
        <v>408</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178</v>
      </c>
      <c r="BE23" s="1198">
        <f t="shared" si="5"/>
        <v>0</v>
      </c>
      <c r="BF23" s="1198">
        <f t="shared" si="5"/>
        <v>0</v>
      </c>
      <c r="BG23" s="1198">
        <f>IF(ISNUMBER(Datos!K23/Datos!J23),Datos!K23/Datos!J23," - ")</f>
        <v>1.0031645569620253</v>
      </c>
      <c r="BH23" s="1202">
        <f>IF(ISNUMBER(((Datos!L23/Datos!K23)*11)/factor_trimestre),((Datos!L23/Datos!K23)*11)/factor_trimestre," - ")</f>
        <v>3.8611987381703474</v>
      </c>
      <c r="BI23" s="1198">
        <f>SUBTOTAL(9,BI16:BI22)</f>
        <v>0.25397386082656304</v>
      </c>
      <c r="BJ23" s="1198">
        <f>SUBTOTAL(9,BJ16:BJ22)</f>
        <v>0</v>
      </c>
      <c r="BK23" s="1198">
        <f>SUBTOTAL(9,BK16:BK22)</f>
        <v>0</v>
      </c>
      <c r="BL23" s="1198">
        <f>IF(ISNUMBER((I23-AB23+L23)/(F23)),(I23-AB23+L23)/(F23)," - ")</f>
        <v>-0.94910179640718562</v>
      </c>
      <c r="BM23" s="1205">
        <f>IF(ISNUMBER((Datos!P23-Datos!Q23)/(Datos!R23-Datos!P23+Datos!Q23)),(Datos!P23-Datos!Q23)/(Datos!R23-Datos!P23+Datos!Q23)," - ")</f>
        <v>0.15873015873015872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354</v>
      </c>
      <c r="G31" s="1117">
        <f t="shared" si="18"/>
        <v>429</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v>
      </c>
      <c r="AC31" s="1118">
        <f t="shared" si="19"/>
        <v>40</v>
      </c>
      <c r="AD31" s="1118">
        <f t="shared" si="19"/>
        <v>0</v>
      </c>
      <c r="AE31" s="1118">
        <f t="shared" si="19"/>
        <v>0</v>
      </c>
      <c r="AF31" s="1125">
        <f t="shared" si="19"/>
        <v>428</v>
      </c>
      <c r="AG31" s="1125">
        <f t="shared" si="19"/>
        <v>0</v>
      </c>
      <c r="AH31" s="1125">
        <f t="shared" si="19"/>
        <v>48</v>
      </c>
      <c r="AI31" s="1125">
        <f t="shared" si="19"/>
        <v>0</v>
      </c>
      <c r="AJ31" s="1118">
        <f t="shared" si="19"/>
        <v>0</v>
      </c>
      <c r="AK31" s="1125">
        <f t="shared" si="19"/>
        <v>0</v>
      </c>
      <c r="AL31" s="1125">
        <f t="shared" si="19"/>
        <v>0</v>
      </c>
      <c r="AM31" s="1125">
        <f t="shared" si="19"/>
        <v>1370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v>
      </c>
      <c r="BD31" s="1117">
        <f t="shared" si="19"/>
        <v>313</v>
      </c>
      <c r="BE31" s="1117">
        <f t="shared" si="19"/>
        <v>0</v>
      </c>
      <c r="BF31" s="1127">
        <f t="shared" si="19"/>
        <v>0</v>
      </c>
      <c r="BG31" s="1223">
        <f>IF(ISNUMBER(Datos!K31/Datos!J31),Datos!K31/Datos!J31," - ")</f>
        <v>0.78757225433526012</v>
      </c>
      <c r="BH31" s="1223">
        <f>IF(ISNUMBER(((Datos!L31/Datos!K31)*11)/factor_trimestre),((Datos!L31/Datos!K31)*11)/factor_trimestre," - ")</f>
        <v>6.9467889908256879</v>
      </c>
      <c r="BI31" s="1103">
        <f>IF(ISNUMBER(Datos!J31/Datos!I31),Datos!J31/Datos!I31," - ")</f>
        <v>0.62062780269058293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-0.89830508474576276</v>
      </c>
      <c r="BM31" s="1188">
        <f>IF(ISNUMBER((Datos!P31-Datos!Q31+R31)/(Datos!R31-Datos!P31+Datos!Q31-R31)),(Datos!P31-Datos!Q31+R31)/(Datos!R31-Datos!P31+Datos!Q31-R31)," - ")</f>
        <v>3.787878787878788E-2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167.55178304034845</v>
      </c>
      <c r="G33" s="674">
        <f>IF(ISNUMBER(STDEV(G8:G30)),STDEV(G8:G30),"-")</f>
        <v>173.25112519389992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148.25139523955986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31.300387948303225</v>
      </c>
      <c r="BD33" s="673"/>
      <c r="BE33" s="673">
        <f>IF(ISNUMBER(STDEV(BE8:BE30)),STDEV(BE8:BE30),"-")</f>
        <v>0</v>
      </c>
      <c r="BF33" s="678">
        <f>IF(ISNUMBER(STDEV(BF8:BF30)),STDEV(BF8:BF30),"-")</f>
        <v>0</v>
      </c>
      <c r="BG33" s="1052">
        <f>IF(ISNUMBER(STDEV(BG8:BG30)),STDEV(BG8:BG30),"-")</f>
        <v>0.23087425639482745</v>
      </c>
      <c r="BH33" s="1058">
        <f>IF(ISNUMBER(STDEV(BH8:BH30)),STDEV(BH8:BH30),"-")</f>
        <v>21.422745746073556</v>
      </c>
      <c r="BI33" s="273">
        <f>IF(ISNUMBER(STDEV(BI8:BI30)),STDEV(BI8:BI30),"-")</f>
        <v>9.0021138544875839E-2</v>
      </c>
      <c r="BJ33" s="244" t="str">
        <f>IF(ISNUMBER(BL33/BM33),BL33/BM33," - ")</f>
        <v xml:space="preserve"> - </v>
      </c>
      <c r="BK33" s="709"/>
      <c r="BL33" s="681">
        <f>IF(ISNUMBER(STDEV(BL8:BL30)),STDEV(BL8:BL30),"-")</f>
        <v>0.63576097721652758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V4kBnmTK9IVGJbw32fkzhww8SNBf4FZACo+VzMQa4mDqxZoCBObEZcue30sGDI73gizjlHog8i7gttyE+U1Aw==" saltValue="XjwpSGvKJzkEOOoZRxkV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1291</v>
      </c>
      <c r="AF12" s="693" t="str">
        <f>IF(ISNUMBER(Datos!BV12),Datos!BV12," - ")</f>
        <v xml:space="preserve"> - </v>
      </c>
      <c r="AG12" s="552" t="str">
        <f>IF(ISNUMBER(Datos!DV12),Datos!DV12," - ")</f>
        <v xml:space="preserve"> - </v>
      </c>
      <c r="AH12" s="553"/>
      <c r="AI12" s="554"/>
      <c r="AJ12" s="552">
        <f>IF(ISNUMBER(Datos!M12),Datos!M12," - ")</f>
        <v>57</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3.1974420463629097E-2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33</v>
      </c>
      <c r="AA14" s="1199">
        <f t="shared" si="3"/>
        <v>20</v>
      </c>
      <c r="AB14" s="1199">
        <f t="shared" si="3"/>
        <v>0</v>
      </c>
      <c r="AC14" s="1199">
        <f t="shared" si="3"/>
        <v>0</v>
      </c>
      <c r="AD14" s="1199">
        <f t="shared" si="3"/>
        <v>0</v>
      </c>
      <c r="AE14" s="1199">
        <f t="shared" si="3"/>
        <v>1297</v>
      </c>
      <c r="AF14" s="1211">
        <f t="shared" si="3"/>
        <v>0</v>
      </c>
      <c r="AG14" s="1211">
        <f t="shared" si="3"/>
        <v>0</v>
      </c>
      <c r="AH14" s="1211">
        <f t="shared" si="3"/>
        <v>0</v>
      </c>
      <c r="AI14" s="1211">
        <f t="shared" si="3"/>
        <v>0</v>
      </c>
      <c r="AJ14" s="1211">
        <f t="shared" si="3"/>
        <v>57</v>
      </c>
      <c r="AK14" s="1211">
        <f t="shared" si="3"/>
        <v>135</v>
      </c>
      <c r="AL14" s="1211">
        <f t="shared" si="3"/>
        <v>0</v>
      </c>
      <c r="AM14" s="1211">
        <f t="shared" si="3"/>
        <v>0</v>
      </c>
      <c r="AN14" s="1211">
        <f t="shared" si="3"/>
        <v>0</v>
      </c>
      <c r="AO14" s="1203">
        <f>IF(ISNUMBER(((NºAsuntos!I14/NºAsuntos!G14)*11)/factor_trimestre),((NºAsuntos!I14/NºAsuntos!G14)*11)/factor_trimestre," - ")</f>
        <v>10.780876494023904</v>
      </c>
      <c r="AP14" s="1213" t="str">
        <f>IF(ISNUMBER(Datos!CI14/Datos!CJ14),Datos!CI14/Datos!CJ14," - ")</f>
        <v xml:space="preserve"> - </v>
      </c>
      <c r="AQ14" s="1236">
        <f t="shared" ref="AQ14:AV14" si="4">SUBTOTAL(9,AQ9:AQ13)</f>
        <v>0</v>
      </c>
      <c r="AR14" s="1236">
        <f t="shared" si="4"/>
        <v>3.1974420463629097E-2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334</v>
      </c>
      <c r="G17" s="552">
        <f>IF(ISNUMBER(IF(D_I="SI",Datos!I17,Datos!I17+Datos!AC17)),IF(D_I="SI",Datos!I17,Datos!I17+Datos!AC17)," - ")</f>
        <v>334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298</v>
      </c>
      <c r="Z17" s="805">
        <f>IF(ISNUMBER(Datos!Q17),Datos!Q17," - ")</f>
        <v>7</v>
      </c>
      <c r="AA17" s="551">
        <f>IF(ISNUMBER(IF(D_I="SI",Datos!L17,Datos!L17+Datos!AF17)),IF(D_I="SI",Datos!L17,Datos!L17+Datos!AF17)," - ")</f>
        <v>319</v>
      </c>
      <c r="AB17" s="549"/>
      <c r="AC17" s="549"/>
      <c r="AD17" s="563"/>
      <c r="AE17" s="563">
        <f>IF(ISNUMBER(Datos!R17),Datos!R17," - ")</f>
        <v>73</v>
      </c>
      <c r="AF17" s="693" t="str">
        <f>IF(ISNUMBER(Datos!BV17),Datos!BV17," - ")</f>
        <v xml:space="preserve"> - </v>
      </c>
      <c r="AG17" s="552"/>
      <c r="AH17" s="553"/>
      <c r="AI17" s="554"/>
      <c r="AJ17" s="552">
        <f>IF(ISNUMBER(Datos!M17),Datos!M17," - ")</f>
        <v>60</v>
      </c>
      <c r="AK17" s="693">
        <f>IF(ISNUMBER(Datos!N17),Datos!N17," - ")</f>
        <v>167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3.2114093959731544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89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14.05263157894737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334</v>
      </c>
      <c r="G23" s="1197">
        <f>SUBTOTAL(9,G16:G22)</f>
        <v>409</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317</v>
      </c>
      <c r="Z23" s="1240">
        <f t="shared" si="6"/>
        <v>7</v>
      </c>
      <c r="AA23" s="1240">
        <f t="shared" si="6"/>
        <v>408</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61</v>
      </c>
      <c r="AK23" s="1240">
        <f t="shared" si="6"/>
        <v>178</v>
      </c>
      <c r="AL23" s="1240">
        <f t="shared" si="6"/>
        <v>0</v>
      </c>
      <c r="AM23" s="1240">
        <f t="shared" si="6"/>
        <v>0</v>
      </c>
      <c r="AN23" s="1240">
        <f t="shared" si="6"/>
        <v>0</v>
      </c>
      <c r="AO23" s="1242">
        <f>IF(ISNUMBER(((NºAsuntos!I23/NºAsuntos!G23)*11)/factor_trimestre),((NºAsuntos!I23/NºAsuntos!G23)*11)/factor_trimestre," - ")</f>
        <v>3.8611987381703474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354</v>
      </c>
      <c r="G31" s="1117">
        <f t="shared" si="12"/>
        <v>429</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v>
      </c>
      <c r="Z31" s="1124">
        <f t="shared" si="13"/>
        <v>40</v>
      </c>
      <c r="AA31" s="1125">
        <f t="shared" si="13"/>
        <v>428</v>
      </c>
      <c r="AB31" s="1125">
        <f t="shared" si="13"/>
        <v>0</v>
      </c>
      <c r="AC31" s="1125">
        <f t="shared" si="13"/>
        <v>0</v>
      </c>
      <c r="AD31" s="1126">
        <f t="shared" si="13"/>
        <v>0</v>
      </c>
      <c r="AE31" s="1126">
        <f t="shared" si="13"/>
        <v>1370</v>
      </c>
      <c r="AF31" s="1127">
        <f t="shared" si="13"/>
        <v>0</v>
      </c>
      <c r="AG31" s="1128">
        <f t="shared" si="13"/>
        <v>0</v>
      </c>
      <c r="AH31" s="1129">
        <f t="shared" si="13"/>
        <v>0</v>
      </c>
      <c r="AI31" s="1127">
        <f t="shared" si="13"/>
        <v>0</v>
      </c>
      <c r="AJ31" s="1117">
        <f t="shared" si="13"/>
        <v>118</v>
      </c>
      <c r="AK31" s="1117">
        <f t="shared" si="13"/>
        <v>313</v>
      </c>
      <c r="AL31" s="1117">
        <f t="shared" si="13"/>
        <v>0</v>
      </c>
      <c r="AM31" s="1130">
        <f t="shared" si="13"/>
        <v>0</v>
      </c>
      <c r="AN31" s="1120">
        <f>IF(ISNUMBER(Datos!K31/Datos!J31),Datos!K31/Datos!J31," - ")</f>
        <v>0.78757225433526012</v>
      </c>
      <c r="AO31" s="1120">
        <f>IF(ISNUMBER(FIND("06",Criterios!A8,1)),(IF(ISNUMBER(((Datos!R31/Datos!Q31)*11)/factor_trimestre),((Datos!R31/Datos!Q31)*11)/factor_trimestre," - ")),(IF(ISNUMBER(((Datos!L31/Datos!K31)*11)/factor_trimestre),((Datos!L31/Datos!K31)*11)/factor_trimestre," - ")))</f>
        <v>6.9467889908256879</v>
      </c>
      <c r="AP31" s="1131" t="str">
        <f>IF(ISNUMBER(Datos!CI31/Datos!CJ31),Datos!CI31/Datos!CJ31," - ")</f>
        <v xml:space="preserve"> - </v>
      </c>
      <c r="AQ31" s="1131">
        <f>IF(OR(ISNUMBER(FIND("01",Criterios!A8,1)),ISNUMBER(FIND("02",Criterios!A8,1)),ISNUMBER(FIND("03",Criterios!A8,1)),ISNUMBER(FIND("04",Criterios!A8,1))),(J31-Y31+K31)/(F31-K31),(I31-Y31+K31)/(F31-K31))</f>
        <v>-0.89830508474576276</v>
      </c>
      <c r="AR31" s="1131">
        <f>IF(ISNUMBER((Datos!P31-Datos!Q31+O31)/(Datos!R31-Datos!P31+Datos!Q31-O31)),(Datos!P31-Datos!Q31+O31)/(Datos!R31-Datos!P31+Datos!Q31-O31)," - ")</f>
        <v>3.787878787878788E-2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167.55178304034845</v>
      </c>
      <c r="G33" s="674">
        <f>IF(ISNUMBER(STDEV(G8:G30)),STDEV(G8:G30),"-")</f>
        <v>173.25112519389992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31.300387948303225</v>
      </c>
      <c r="AK33" s="276"/>
      <c r="AL33" s="276">
        <f>IF(ISNUMBER(STDEV(AL8:AL30)),STDEV(AL8:AL30),"-")</f>
        <v>0</v>
      </c>
      <c r="AM33" s="278">
        <f>IF(ISNUMBER(STDEV(AM8:AM30)),STDEV(AM8:AM30),"-")</f>
        <v>0</v>
      </c>
      <c r="AN33" s="660">
        <f>IF(ISNUMBER(STDEV(AN8:AN30)),STDEV(AN8:AN30),"-")</f>
        <v>0</v>
      </c>
      <c r="AO33" s="661">
        <f>IF(ISNUMBER(STDEV(AO8:AO30)),STDEV(AO8:AO30),"-")</f>
        <v>21.448742749102585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Sos/VNDWa1BKnvBboBAUMKRRGWwenU6YBmUTGZTs336G7Cif45zW+c3vbI7LobjMhVwtEC0+L6dSW7khHrhPA==" saltValue="bn9i7Yvrt6mryGfRRhgb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kFLTv1bpUXJmnxSbDxsysS8ycwlRXC0Y9TdJGOqbC0ScNDwax62WygjBPphSBbXiGdvNe44m1O42GMwrha4OQ==" saltValue="OfCMc+c9TilVeH6QQjUS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cAd/KbSarlc6/8vKPVfxOWDVpRLiByoe0gH5tIul5TK2yjyd28fOqff7NZ0bPheYsabZafzuffGDXDEczz8A==" saltValue="PCp5Zpv09dN9lf+DPR//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0.22709163346613545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0.1605780339746343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XMbL0wiT7Y+9iWigud4H2CNRQV1q/G2r5mmSsYkM25eUfK66o7nfNWeoSck7XH+zETJtp2vf3giW5HeSnNPyQ==" saltValue="KbS18RPMX7l/0bkVqtBS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Ev2cjxa8BFoKEbqmJO4vjzQLrCDmuEPVq37h8SLl5276m5FC7BIZbLfB2ruMgNPiuB6/q5wRM24j1AkIB8rKg==" saltValue="2VR5H3ZgikboLBcfwLKZ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CORIA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v>
      </c>
      <c r="F10" s="452">
        <f>IF(ISNUMBER(E10/B10),E10/B10," - ")</f>
        <v>1</v>
      </c>
      <c r="G10" s="451">
        <f>IF(ISNUMBER(Datos!K10),Datos!K10," - ")</f>
        <v>1</v>
      </c>
      <c r="H10" s="452">
        <f>IF(ISNUMBER(G10/B10),G10/B10," - ")</f>
        <v>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726</v>
      </c>
      <c r="D12" s="452">
        <f>IF(ISNUMBER(C12/Datos!BH12),C12/Datos!BH12," - ")</f>
        <v>363</v>
      </c>
      <c r="E12" s="451">
        <f>IF(ISNUMBER(IF(J_V="SI",Datos!J12,Datos!J12+Datos!Z12)),IF(J_V="SI",Datos!J12,Datos!J12+Datos!Z12)," - ")</f>
        <v>406</v>
      </c>
      <c r="F12" s="452">
        <f>IF(ISNUMBER(E12/B12),E12/B12," - ")</f>
        <v>203</v>
      </c>
      <c r="G12" s="451">
        <f>IF(ISNUMBER(IF(J_V="SI",Datos!K12,Datos!K12+Datos!AA12)),IF(J_V="SI",Datos!K12,Datos!K12+Datos!AA12)," - ")</f>
        <v>250</v>
      </c>
      <c r="H12" s="452">
        <f>IF(ISNUMBER(G12/B12),G12/B12," - ")</f>
        <v>125</v>
      </c>
      <c r="I12" s="451">
        <f>IF(ISNUMBER(IF(J_V="SI",Datos!L12,Datos!L12+Datos!AB12)),IF(J_V="SI",Datos!L12,Datos!L12+Datos!AB12)," - ")</f>
        <v>882</v>
      </c>
      <c r="J12" s="452">
        <f>IF(ISNUMBER(I12/B12),I12/B12," - ")</f>
        <v>441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746</v>
      </c>
      <c r="D14" s="1147" t="str">
        <f>IF(ISNUMBER(C14/Datos!BI14),C14/Datos!BI14," - ")</f>
        <v xml:space="preserve"> - </v>
      </c>
      <c r="E14" s="1146">
        <f>SUBTOTAL(9,E8:E13)</f>
        <v>407</v>
      </c>
      <c r="F14" s="1147">
        <f>IF(ISNUMBER(E14/B14),E14/B14," - ")</f>
        <v>203.5</v>
      </c>
      <c r="G14" s="1146">
        <f>SUBTOTAL(9,G8:G13)</f>
        <v>251</v>
      </c>
      <c r="H14" s="1147">
        <f>IF(ISNUMBER(G14/B14),G14/B14," - ")</f>
        <v>125.5</v>
      </c>
      <c r="I14" s="1146">
        <f>SUBTOTAL(9,I8:I13)</f>
        <v>902</v>
      </c>
      <c r="J14" s="1147">
        <f>IF(ISNUMBER(I14/B14),I14/B14," - ")</f>
        <v>451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334</v>
      </c>
      <c r="D17" s="452">
        <f>IF(ISNUMBER(C17/Datos!BH17),C17/Datos!BH17," - ")</f>
        <v>167</v>
      </c>
      <c r="E17" s="451">
        <f>IF(ISNUMBER(IF(D_I="SI",Datos!J17,Datos!J17+Datos!AD17)),IF(D_I="SI",Datos!J17,Datos!J17+Datos!AD17)," - ")</f>
        <v>283</v>
      </c>
      <c r="F17" s="452">
        <f>IF(ISNUMBER(E17/B17),E17/B17," - ")</f>
        <v>141.5</v>
      </c>
      <c r="G17" s="451">
        <f>IF(ISNUMBER(IF(D_I="SI",Datos!K17,Datos!K17+Datos!AE17)),IF(D_I="SI",Datos!K17,Datos!K17+Datos!AE17)," - ")</f>
        <v>298</v>
      </c>
      <c r="H17" s="452">
        <f>IF(ISNUMBER(G17/B17),G17/B17," - ")</f>
        <v>149</v>
      </c>
      <c r="I17" s="451">
        <f>IF(ISNUMBER(IF(D_I="SI",Datos!L17,Datos!L17+Datos!AF17)),IF(D_I="SI",Datos!L17,Datos!L17+Datos!AF17)," - ")</f>
        <v>319</v>
      </c>
      <c r="J17" s="452">
        <f>IF(ISNUMBER(I17/B17),I17/B17," - ")</f>
        <v>159.5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75</v>
      </c>
      <c r="D18" s="452">
        <f>IF(ISNUMBER(C18/Datos!BH18),C18/Datos!BH18," - ")</f>
        <v>75</v>
      </c>
      <c r="E18" s="451">
        <f>IF(ISNUMBER(IF(D_I="SI",Datos!J18,Datos!J18+Datos!AD18)),IF(D_I="SI",Datos!J18,Datos!J18+Datos!AD18)," - ")</f>
        <v>33</v>
      </c>
      <c r="F18" s="452">
        <f>IF(ISNUMBER(E18/B18),E18/B18," - ")</f>
        <v>33</v>
      </c>
      <c r="G18" s="451">
        <f>IF(ISNUMBER(IF(D_I="SI",Datos!K18,Datos!K18+Datos!AE18)),IF(D_I="SI",Datos!K18,Datos!K18+Datos!AE18)," - ")</f>
        <v>19</v>
      </c>
      <c r="H18" s="452">
        <f>IF(ISNUMBER(G18/B18),G18/B18," - ")</f>
        <v>19</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409</v>
      </c>
      <c r="D23" s="1147" t="str">
        <f>IF(ISNUMBER(C23/Datos!BI23),C23/Datos!BI23," - ")</f>
        <v xml:space="preserve"> - </v>
      </c>
      <c r="E23" s="1146">
        <f>SUBTOTAL(9,E15:E22)</f>
        <v>316</v>
      </c>
      <c r="F23" s="1147">
        <f>IF(ISNUMBER(E23/B23),E23/B23," - ")</f>
        <v>158</v>
      </c>
      <c r="G23" s="1146">
        <f>SUBTOTAL(9,G15:G22)</f>
        <v>317</v>
      </c>
      <c r="H23" s="1147">
        <f>IF(ISNUMBER(G23/B23),G23/B23," - ")</f>
        <v>158.5</v>
      </c>
      <c r="I23" s="1146">
        <f>SUBTOTAL(9,I15:I22)</f>
        <v>408</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1155</v>
      </c>
      <c r="D31" s="1085" t="str">
        <f>IF(ISNUMBER(C31/Datos!BI31),C31/Datos!BI31," - ")</f>
        <v xml:space="preserve"> - </v>
      </c>
      <c r="E31" s="1084">
        <f>SUBTOTAL(9,E9:E30)</f>
        <v>723</v>
      </c>
      <c r="F31" s="1085">
        <f>IF(ISNUMBER(E31/B31),E31/B31," - ")</f>
        <v>361.5</v>
      </c>
      <c r="G31" s="1084">
        <f>SUBTOTAL(9,G9:G30)</f>
        <v>568</v>
      </c>
      <c r="H31" s="1085">
        <f>IF(ISNUMBER(G31/B31),G31/B31," - ")</f>
        <v>284</v>
      </c>
      <c r="I31" s="1084">
        <f>SUBTOTAL(9,I9:I30)</f>
        <v>1310</v>
      </c>
      <c r="J31" s="1085">
        <f>IF(ISNUMBER(I31/B31),I31/B31," - ")</f>
        <v>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CP69iHN3CdDTbj+W4Ai1O7ktR855NAX14DUyvSqJF5fJ0wHpcjpHzclbXuOw4ruz4L+u0uOHz4gsw6LYu8UJQ==" saltValue="Fq8T6DtH7rwOptwDp3Mg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3.1974420463629097E-2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33</v>
      </c>
      <c r="AE14" s="1257">
        <f t="shared" si="1"/>
        <v>0</v>
      </c>
      <c r="AF14" s="1257">
        <f t="shared" si="1"/>
        <v>20</v>
      </c>
      <c r="AG14" s="1257">
        <f t="shared" si="1"/>
        <v>0</v>
      </c>
      <c r="AH14" s="1257">
        <f t="shared" si="1"/>
        <v>1291</v>
      </c>
      <c r="AI14" s="1257">
        <f t="shared" si="1"/>
        <v>0</v>
      </c>
      <c r="AJ14" s="1257">
        <f t="shared" si="1"/>
        <v>0</v>
      </c>
      <c r="AK14" s="1257">
        <f t="shared" si="1"/>
        <v>0</v>
      </c>
      <c r="AL14" s="1257">
        <f t="shared" si="1"/>
        <v>57</v>
      </c>
      <c r="AM14" s="1257">
        <f t="shared" si="1"/>
        <v>135</v>
      </c>
      <c r="AN14" s="1257">
        <f t="shared" si="1"/>
        <v>0</v>
      </c>
      <c r="AO14" s="1257">
        <f t="shared" si="1"/>
        <v>0</v>
      </c>
      <c r="AP14" s="1262">
        <f>IF(ISNUMBER(((Datos!L14/Datos!K14)*11)/factor_trimestre),((Datos!L14/Datos!K14)*11)/factor_trimestre," - ")</f>
        <v>11.236842105263158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-0.05</v>
      </c>
      <c r="AU14" s="1257" t="str">
        <f>IF(ISNUMBER((DatosP!#REF!-DatosP!#REF!+DatosP!#REF!)/(DatosP!#REF!+DatosP!#REF!-DatosP!#REF!-DatosP!#REF!)),(DatosP!#REF!-DatosP!#REF!+DatosP!#REF!)/(DatosP!#REF!+DatosP!#REF!-DatosP!#REF!-DatosP!#REF!)," - ")</f>
        <v xml:space="preserve"> - </v>
      </c>
      <c r="AV14" s="1263">
        <f>SUBTOTAL(9,AV9:AV13)</f>
        <v>3.1974420463629097E-2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3.8611987381703474</v>
      </c>
      <c r="AQ23" s="1262">
        <f>IF(ISNUMBER(((Datos!M23/Datos!L23)*11)/factor_trimestre),((Datos!M23/Datos!L23)*11)/factor_trimestre," - ")</f>
        <v>0.4485294117647059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0.15873015873015872</v>
      </c>
      <c r="AW23" s="1265">
        <f>IF(ISNUMBER((Datos!Q23-Datos!R23)/(Datos!S23-Datos!Q23+Datos!R23)),(Datos!Q23-Datos!R23)/(Datos!S23-Datos!Q23+Datos!R23)," - ")</f>
        <v>-0.1476510067114094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33</v>
      </c>
      <c r="AE31" s="1284">
        <f t="shared" si="9"/>
        <v>0</v>
      </c>
      <c r="AF31" s="1285">
        <f t="shared" si="9"/>
        <v>20</v>
      </c>
      <c r="AG31" s="1285">
        <f t="shared" si="9"/>
        <v>0</v>
      </c>
      <c r="AH31" s="1285">
        <f t="shared" si="9"/>
        <v>1291</v>
      </c>
      <c r="AI31" s="1285">
        <f t="shared" si="9"/>
        <v>0</v>
      </c>
      <c r="AJ31" s="1286">
        <f t="shared" si="9"/>
        <v>0</v>
      </c>
      <c r="AK31" s="1286">
        <f t="shared" si="9"/>
        <v>0</v>
      </c>
      <c r="AL31" s="1278">
        <f t="shared" si="9"/>
        <v>57</v>
      </c>
      <c r="AM31" s="1278">
        <f t="shared" si="9"/>
        <v>135</v>
      </c>
      <c r="AN31" s="1278">
        <f t="shared" si="9"/>
        <v>0</v>
      </c>
      <c r="AO31" s="1278">
        <f t="shared" si="9"/>
        <v>0</v>
      </c>
      <c r="AP31" s="1278">
        <f>IF(ISNUMBER(((Datos!L31/Datos!K31)*11)/factor_trimestre),((Datos!L31/Datos!K31)*11)/factor_trimestre," - ")</f>
        <v>6.9467889908256879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3.787878787878788E-2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25.934812520499104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G5YkWzNAub4M6XMGBtl57KnXXezwkoWg8vDklCXF6kr9071XYB2Dds94zRAd1arzJi+FKe2imo824pqDdvrw==" saltValue="B1QZ7DStppvuf/dbGRD+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fKH+9vvZGg6y7IiHonCSywknoWPxXAMgZvc8ViVq5r5L5A6JBYT7hSTPdjMrS9sRt/OPufl7Fg73BnCzLEGVQ==" saltValue="0C5AGKtW6XNL34ttPLMU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CORIA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135</v>
      </c>
      <c r="G12" s="452">
        <f t="shared" si="1"/>
        <v>67.5</v>
      </c>
      <c r="H12" s="451">
        <f>IF(ISNUMBER(Datos!O12),Datos!O12," - ")</f>
        <v>93</v>
      </c>
      <c r="I12" s="452">
        <f t="shared" si="2"/>
        <v>46.5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135</v>
      </c>
      <c r="G14" s="1147">
        <f t="shared" si="1"/>
        <v>45</v>
      </c>
      <c r="H14" s="1146">
        <f>SUBTOTAL(9,H9:H13)</f>
        <v>93</v>
      </c>
      <c r="I14" s="1147">
        <f>IF(ISNUMBER(H14/B14),H14/B14," - ")</f>
        <v>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167</v>
      </c>
      <c r="G17" s="452">
        <f t="shared" si="4"/>
        <v>83.5</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61</v>
      </c>
      <c r="E23" s="1147">
        <f t="shared" si="3"/>
        <v>20.333333333333332</v>
      </c>
      <c r="F23" s="1146">
        <f>SUBTOTAL(9,F16:F22)</f>
        <v>178</v>
      </c>
      <c r="G23" s="1147">
        <f t="shared" si="4"/>
        <v>59.333333333333336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118</v>
      </c>
      <c r="E31" s="1085">
        <f>IF(ISNUMBER(D31/B31),D31/B31," - ")</f>
        <v>59</v>
      </c>
      <c r="F31" s="1084">
        <f>SUBTOTAL(9,F8:F30)</f>
        <v>313</v>
      </c>
      <c r="G31" s="1085">
        <f>IF(ISNUMBER(F31/B31),F31/B31," - ")</f>
        <v>156.5</v>
      </c>
      <c r="H31" s="1084">
        <f>SUBTOTAL(9,H8:H30)</f>
        <v>95</v>
      </c>
      <c r="I31" s="1085">
        <f>IF(ISNUMBER(H31/B31),H31/B31," - ")</f>
        <v>47.5</v>
      </c>
    </row>
    <row r="34" spans="1:1">
      <c r="A34" s="439" t="str">
        <f>Criterios!A4</f>
        <v>Fecha Informe: 06 may. 2023</v>
      </c>
    </row>
    <row r="39" spans="1:1">
      <c r="A39" s="462"/>
    </row>
  </sheetData>
  <sheetProtection algorithmName="SHA-512" hashValue="xIfdMic+ra+qGIzGsQ7El853ZLioPDD5UKVGZ8a1gzIaR5ec3kr/0l7VdfPaTpctVP5l4CvNfGbshA+8SXHwCQ==" saltValue="17FgIFqHqf8rm2m5tj9g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CORIA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33</v>
      </c>
      <c r="D12" s="456">
        <f>IF(ISNUMBER(Datos!R12),Datos!R12," - ")</f>
        <v>1291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33</v>
      </c>
      <c r="D14" s="1148">
        <f>SUBTOTAL(9,D9:D13)</f>
        <v>1297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7</v>
      </c>
      <c r="D17" s="456">
        <f>IF(ISNUMBER(Datos!R17),Datos!R17," - ")</f>
        <v>73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7</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40</v>
      </c>
      <c r="D31" s="1090">
        <f>SUBTOTAL(9,D8:D30)</f>
        <v>1370</v>
      </c>
    </row>
    <row r="32" spans="1:4" ht="7.5" customHeight="1"/>
    <row r="33" spans="1:1" ht="6" customHeight="1"/>
    <row r="34" spans="1:1">
      <c r="A34" s="439" t="str">
        <f>Criterios!A4</f>
        <v>Fecha Informe: 06 may. 2023</v>
      </c>
    </row>
    <row r="39" spans="1:1">
      <c r="A39" s="462"/>
    </row>
  </sheetData>
  <sheetProtection algorithmName="SHA-512" hashValue="qszXigws5NGpm0Iav16IyRNksBFQZbUyH3zKuQ6fD5FaW20dwFv/rGjGEaVdHv9O08PKTaicU1vxFiQPCbAHhQ==" saltValue="v4+paAVn5e89pZ2uNvlD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CORIA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0.53846153846153844</v>
      </c>
      <c r="C10" s="515">
        <f>IF(ISNUMBER((Datos!J10-Datos!T10)/Datos!T10),(Datos!J10-Datos!T10)/Datos!T10," - ")</f>
        <v>-0.5</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0.23679727427597955</v>
      </c>
      <c r="C12" s="515">
        <f>IF(ISNUMBER(
   IF(J_V="SI",(Datos!J12-Datos!T12)/Datos!T12,(Datos!J12+Datos!Z12-(Datos!T12+Datos!AH12))/(Datos!T12+Datos!AH12))
     ),IF(J_V="SI",(Datos!J12-Datos!T12)/Datos!T12,(Datos!J12+Datos!Z12-(Datos!T12+Datos!AH12))/(Datos!T12+Datos!AH12))," - ")</f>
        <v>0.1871345029239766</v>
      </c>
      <c r="D12" s="515">
        <f>IF(ISNUMBER(
   IF(J_V="SI",(Datos!K12-Datos!U12)/Datos!U12,(Datos!K12+Datos!AA12-(Datos!U12+Datos!AI12))/(Datos!U12+Datos!AI12))
     ),IF(J_V="SI",(Datos!K12-Datos!U12)/Datos!U12,(Datos!K12+Datos!AA12-(Datos!U12+Datos!AI12))/(Datos!U12+Datos!AI12))," - ")</f>
        <v>-0.28977272727272729</v>
      </c>
      <c r="E12" s="515">
        <f>IF(ISNUMBER(
   IF(J_V="SI",(Datos!L12-Datos!V12)/Datos!V12,(Datos!L12+Datos!AB12-(Datos!V12+Datos!AJ12))/(Datos!V12+Datos!AJ12))
     ),IF(J_V="SI",(Datos!L12-Datos!V12)/Datos!V12,(Datos!L12+Datos!AB12-(Datos!V12+Datos!AJ12))/(Datos!V12+Datos!AJ12))," - ")</f>
        <v>0.52859618717504331</v>
      </c>
      <c r="F12" s="515">
        <f>IF(ISNUMBER((Datos!M12-Datos!W12)/Datos!W12),(Datos!M12-Datos!W12)/Datos!W12," - ")</f>
        <v>-0.40625</v>
      </c>
      <c r="G12" s="516">
        <f>IF(ISNUMBER((Datos!N12-Datos!X12)/Datos!X12),(Datos!N12-Datos!X12)/Datos!X12," - ")</f>
        <v>-0.16149068322981366</v>
      </c>
      <c r="H12" s="514">
        <f>IF(ISNUMBER(((NºAsuntos!G12/NºAsuntos!E12)-Datos!BD12)/Datos!BD12),((NºAsuntos!G12/NºAsuntos!E12)-Datos!BD12)/Datos!BD12," - ")</f>
        <v>-0.40172973578145987</v>
      </c>
      <c r="I12" s="515">
        <f>IF(ISNUMBER(((NºAsuntos!I12/NºAsuntos!G12)-Datos!BE12)/Datos!BE12),((NºAsuntos!I12/NºAsuntos!G12)-Datos!BE12)/Datos!BE12," - ")</f>
        <v>1.1522634315424611</v>
      </c>
      <c r="J12" s="521">
        <f>IF(ISNUMBER((('Resol  Asuntos'!D12/NºAsuntos!G12)-Datos!BF12)/Datos!BF12),(('Resol  Asuntos'!D12/NºAsuntos!G12)-Datos!BF12)/Datos!BF12," - ")</f>
        <v>-0.50151552795031051</v>
      </c>
      <c r="K12" s="522">
        <f>IF(ISNUMBER((((NºAsuntos!C12+NºAsuntos!E12)/NºAsuntos!G12)-Datos!BG12)/Datos!BG12),(((NºAsuntos!C12+NºAsuntos!E12)/NºAsuntos!G12)-Datos!BG12)/Datos!BG12," - ")</f>
        <v>0.71566846071044121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0.24333333333333335</v>
      </c>
      <c r="C14" s="1152">
        <f>IF(ISNUMBER(
   IF(J_V="SI",(Datos!J14-Datos!T14)/Datos!T14,(Datos!J14+Datos!Z14-(Datos!T14+Datos!AH14))/(Datos!T14+Datos!AH14))
     ),IF(J_V="SI",(Datos!J14-Datos!T14)/Datos!T14,(Datos!J14+Datos!Z14-(Datos!T14+Datos!AH14))/(Datos!T14+Datos!AH14))," - ")</f>
        <v>0.18313953488372092</v>
      </c>
      <c r="D14" s="1152">
        <f>IF(ISNUMBER(
   IF(J_V="SI",(Datos!K14-Datos!U14)/Datos!U14,(Datos!K14+Datos!AA14-(Datos!U14+Datos!AI14))/(Datos!U14+Datos!AI14))
     ),IF(J_V="SI",(Datos!K14-Datos!U14)/Datos!U14,(Datos!K14+Datos!AA14-(Datos!U14+Datos!AI14))/(Datos!U14+Datos!AI14))," - ")</f>
        <v>-0.28693181818181818</v>
      </c>
      <c r="E14" s="1152">
        <f>IF(ISNUMBER(
   IF(J_V="SI",(Datos!L14-Datos!V14)/Datos!V14,(Datos!L14+Datos!AB14-(Datos!V14+Datos!AJ14))/(Datos!V14+Datos!AJ14))
     ),IF(J_V="SI",(Datos!L14-Datos!V14)/Datos!V14,(Datos!L14+Datos!AB14-(Datos!V14+Datos!AJ14))/(Datos!V14+Datos!AJ14))," - ")</f>
        <v>0.52364864864864868</v>
      </c>
      <c r="F14" s="1153">
        <f>IF(ISNUMBER((Datos!M14-Datos!W14)/Datos!W14),(Datos!M14-Datos!W14)/Datos!W14," - ")</f>
        <v>-0.40625</v>
      </c>
      <c r="G14" s="1154">
        <f>IF(ISNUMBER((Datos!N14-Datos!X14)/Datos!X14),(Datos!N14-Datos!X14)/Datos!X14," - ")</f>
        <v>-0.16149068322981366</v>
      </c>
      <c r="H14" s="1154">
        <f>IF(ISNUMBER(((NºAsuntos!G14/NºAsuntos!E14)-Datos!BD14)/Datos!BD14),((NºAsuntos!G14/NºAsuntos!E14)-Datos!BD14)/Datos!BD14," - ")</f>
        <v>-0.39730846549028365</v>
      </c>
      <c r="I14" s="1154">
        <f>IF(ISNUMBER(((NºAsuntos!I14/NºAsuntos!G14)-Datos!BE14)/Datos!BE14),((NºAsuntos!I14/NºAsuntos!G14)-Datos!BE14)/Datos!BE14," - ")</f>
        <v>1.1367502961128457</v>
      </c>
      <c r="J14" s="1154">
        <f>IF(ISNUMBER((('Resol  Asuntos'!D14/NºAsuntos!G14)-Datos!BF14)/Datos!BF14),(('Resol  Asuntos'!D14/NºAsuntos!G14)-Datos!BF14)/Datos!BF14," - ")</f>
        <v>-0.50350152186285912</v>
      </c>
      <c r="K14" s="1154">
        <f>IF(ISNUMBER((((NºAsuntos!C14+NºAsuntos!E14)/NºAsuntos!G14)-Datos!BG14)/Datos!BG14),(((NºAsuntos!C14+NºAsuntos!E14)/NºAsuntos!G14)-Datos!BG14)/Datos!BG14," - ")</f>
        <v>0.71287730434195451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-1.1834319526627219E-2</v>
      </c>
      <c r="C17" s="515">
        <f>IF(ISNUMBER(
   IF(D_I="SI",(Datos!J17-Datos!T17)/Datos!T17,(Datos!J17+Datos!AD17-(Datos!T17+Datos!AL17))/(Datos!T17+Datos!AL17))
     ),IF(D_I="SI",(Datos!J17-Datos!T17)/Datos!T17,(Datos!J17+Datos!AD17-(Datos!T17+Datos!AL17))/(Datos!T17+Datos!AL17))," - ")</f>
        <v>-0.11006289308176101</v>
      </c>
      <c r="D17" s="515">
        <f>IF(ISNUMBER(
   IF(D_I="SI",(Datos!K17-Datos!U17)/Datos!U17,(Datos!K17+Datos!AE17-(Datos!U17+Datos!AM17))/(Datos!U17+Datos!AM17))
     ),IF(D_I="SI",(Datos!K17-Datos!U17)/Datos!U17,(Datos!K17+Datos!AE17-(Datos!U17+Datos!AM17))/(Datos!U17+Datos!AM17))," - ")</f>
        <v>-0.20954907161803712</v>
      </c>
      <c r="E17" s="515">
        <f>IF(ISNUMBER(
   IF(D_I="SI",(Datos!L17-Datos!V17)/Datos!V17,(Datos!L17+Datos!AF17-(Datos!V17+Datos!AN17))/(Datos!V17+Datos!AN17))
     ),IF(D_I="SI",(Datos!L17-Datos!V17)/Datos!V17,(Datos!L17+Datos!AF17-(Datos!V17+Datos!AN17))/(Datos!V17+Datos!AN17))," - ")</f>
        <v>0.11149825783972125</v>
      </c>
      <c r="F17" s="515">
        <f>IF(ISNUMBER((Datos!M17-Datos!W17)/Datos!W17),(Datos!M17-Datos!W17)/Datos!W17," - ")</f>
        <v>0.25</v>
      </c>
      <c r="G17" s="516">
        <f>IF(ISNUMBER((Datos!N17-Datos!X17)/Datos!X17),(Datos!N17-Datos!X17)/Datos!X17," - ")</f>
        <v>-5.6497175141242938E-2</v>
      </c>
      <c r="H17" s="514">
        <f>IF(ISNUMBER(((NºAsuntos!G17/NºAsuntos!E17)-Datos!BD17)/Datos!BD17),((NºAsuntos!G17/NºAsuntos!E17)-Datos!BD17)/Datos!BD17," - ")</f>
        <v>-0.11179012287821852</v>
      </c>
      <c r="I17" s="515">
        <f>IF(ISNUMBER(((NºAsuntos!I17/NºAsuntos!G17)-Datos!BE17)/Datos!BE17),((NºAsuntos!I17/NºAsuntos!G17)-Datos!BE17)/Datos!BE17," - ")</f>
        <v>0.40615719196501643</v>
      </c>
      <c r="J17" s="521">
        <f>IF(ISNUMBER((('Resol  Asuntos'!D17/NºAsuntos!G17)-Datos!BF17)/Datos!BF17),(('Resol  Asuntos'!D17/NºAsuntos!G17)-Datos!BF17)/Datos!BF17," - ")</f>
        <v>0.58137583892617439</v>
      </c>
      <c r="K17" s="522">
        <f>IF(ISNUMBER((((NºAsuntos!C17+NºAsuntos!E17)/NºAsuntos!G17)-Datos!BG17)/Datos!BG17),(((NºAsuntos!C17+NºAsuntos!E17)/NºAsuntos!G17)-Datos!BG17)/Datos!BG17," - ")</f>
        <v>0.18988889343591436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0.7441860465116279</v>
      </c>
      <c r="C18" s="515">
        <f>IF(ISNUMBER(
   IF(D_I="SI",(Datos!J18-Datos!T18)/Datos!T18,(Datos!J18+Datos!AD18-(Datos!T18+Datos!AL18))/(Datos!T18+Datos!AL18))
     ),IF(D_I="SI",(Datos!J18-Datos!T18)/Datos!T18,(Datos!J18+Datos!AD18-(Datos!T18+Datos!AL18))/(Datos!T18+Datos!AL18))," - ")</f>
        <v>-0.32653061224489793</v>
      </c>
      <c r="D18" s="515">
        <f>IF(ISNUMBER(
   IF(D_I="SI",(Datos!K18-Datos!U18)/Datos!U18,(Datos!K18+Datos!AE18-(Datos!U18+Datos!AM18))/(Datos!U18+Datos!AM18))
     ),IF(D_I="SI",(Datos!K18-Datos!U18)/Datos!U18,(Datos!K18+Datos!AE18-(Datos!U18+Datos!AM18))/(Datos!U18+Datos!AM18))," - ")</f>
        <v>-0.29629629629629628</v>
      </c>
      <c r="E18" s="515">
        <f>IF(ISNUMBER(
   IF(D_I="SI",(Datos!L18-Datos!V18)/Datos!V18,(Datos!L18+Datos!AF18-(Datos!V18+Datos!AN18))/(Datos!V18+Datos!AN18))
     ),IF(D_I="SI",(Datos!L18-Datos!V18)/Datos!V18,(Datos!L18+Datos!AF18-(Datos!V18+Datos!AN18))/(Datos!V18+Datos!AN18))," - ")</f>
        <v>0.36923076923076925</v>
      </c>
      <c r="F18" s="515">
        <f>IF(ISNUMBER((Datos!M18-Datos!W18)/Datos!W18),(Datos!M18-Datos!W18)/Datos!W18," - ")</f>
        <v>0</v>
      </c>
      <c r="G18" s="516">
        <f>IF(ISNUMBER((Datos!N18-Datos!X18)/Datos!X18),(Datos!N18-Datos!X18)/Datos!X18," - ")</f>
        <v>-0.54166666666666663</v>
      </c>
      <c r="H18" s="514">
        <f>IF(ISNUMBER(((NºAsuntos!G18/NºAsuntos!E18)-Datos!BD18)/Datos!BD18),((NºAsuntos!G18/NºAsuntos!E18)-Datos!BD18)/Datos!BD18," - ")</f>
        <v>4.4893378226711744E-2</v>
      </c>
      <c r="I18" s="515">
        <f>IF(ISNUMBER(((NºAsuntos!I18/NºAsuntos!G18)-Datos!BE18)/Datos!BE18),((NºAsuntos!I18/NºAsuntos!G18)-Datos!BE18)/Datos!BE18," - ")</f>
        <v>0.94574898785425099</v>
      </c>
      <c r="J18" s="521">
        <f>IF(ISNUMBER((('Resol  Asuntos'!D18/NºAsuntos!G18)-Datos!BF18)/Datos!BF18),(('Resol  Asuntos'!D18/NºAsuntos!G18)-Datos!BF18)/Datos!BF18," - ")</f>
        <v>0.42105263157894735</v>
      </c>
      <c r="K18" s="522">
        <f>IF(ISNUMBER((((NºAsuntos!C18+NºAsuntos!E18)/NºAsuntos!G18)-Datos!BG18)/Datos!BG18),(((NºAsuntos!C18+NºAsuntos!E18)/NºAsuntos!G18)-Datos!BG18)/Datos!BG18," - ")</f>
        <v>0.66819221967963383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7.3490813648293962E-2</v>
      </c>
      <c r="C23" s="1152">
        <f>IF(ISNUMBER(
   IF(Criterios!B14="SI",(Datos!J23-Datos!T23)/Datos!T23,(Datos!J23+Datos!AD23-(Datos!T23+Datos!AL23))/(Datos!T23+Datos!AL23))
     ),IF(Criterios!B14="SI",(Datos!J23-Datos!T23)/Datos!T23,(Datos!J23+Datos!AD23-(Datos!T23+Datos!AL23))/(Datos!T23+Datos!AL23))," - ")</f>
        <v>-0.13896457765667575</v>
      </c>
      <c r="D23" s="1152">
        <f>IF(ISNUMBER(
   IF(Criterios!B14="SI",(Datos!K23-Datos!U23)/Datos!U23,(Datos!K23+Datos!AE23-(Datos!U23+Datos!AM23))/(Datos!U23+Datos!AM23))
     ),IF(Criterios!B14="SI",(Datos!K23-Datos!U23)/Datos!U23,(Datos!K23+Datos!AE23-(Datos!U23+Datos!AM23))/(Datos!U23+Datos!AM23))," - ")</f>
        <v>-0.21534653465346534</v>
      </c>
      <c r="E23" s="1152">
        <f>IF(ISNUMBER(
   IF(Criterios!B14="SI",(Datos!L23-Datos!V23)/Datos!V23,(Datos!L23+Datos!AF23-(Datos!V23+Datos!AN23))/(Datos!V23+Datos!AN23))
     ),IF(Criterios!B14="SI",(Datos!L23-Datos!V23)/Datos!V23,(Datos!L23+Datos!AF23-(Datos!V23+Datos!AN23))/(Datos!V23+Datos!AN23))," - ")</f>
        <v>0.15909090909090909</v>
      </c>
      <c r="F23" s="1153">
        <f>IF(ISNUMBER((Datos!M23-Datos!W23)/Datos!W23),(Datos!M23-Datos!W23)/Datos!W23," - ")</f>
        <v>0.24489795918367346</v>
      </c>
      <c r="G23" s="1154">
        <f>IF(ISNUMBER((Datos!N23-Datos!X23)/Datos!X23),(Datos!N23-Datos!X23)/Datos!X23," - ")</f>
        <v>-0.11442786069651742</v>
      </c>
      <c r="H23" s="1154">
        <f>IF(ISNUMBER(((NºAsuntos!G23/NºAsuntos!E23)-Datos!BD23)/Datos!BD23),((NºAsuntos!G23/NºAsuntos!E23)-Datos!BD23)/Datos!BD23," - ")</f>
        <v>-8.8709424739942366E-2</v>
      </c>
      <c r="I23" s="1154">
        <f>IF(ISNUMBER(((NºAsuntos!I23/NºAsuntos!G23)-Datos!BE23)/Datos!BE23),((NºAsuntos!I23/NºAsuntos!G23)-Datos!BE23)/Datos!BE23," - ")</f>
        <v>0.47720103240607969</v>
      </c>
      <c r="J23" s="1154">
        <f>IF(ISNUMBER((('Resol  Asuntos'!D23/NºAsuntos!G23)-Datos!BF23)/Datos!BF23),(('Resol  Asuntos'!D23/NºAsuntos!G23)-Datos!BF23)/Datos!BF23," - ")</f>
        <v>0.58655765145174787</v>
      </c>
      <c r="K23" s="1154">
        <f>IF(ISNUMBER((((NºAsuntos!C23+NºAsuntos!E23)/NºAsuntos!G23)-Datos!BG23)/Datos!BG23),(((NºAsuntos!C23+NºAsuntos!E23)/NºAsuntos!G23)-Datos!BG23)/Datos!BG23," - ")</f>
        <v>0.23526037888628346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0.17737003058103976</v>
      </c>
      <c r="C31" s="1092">
        <f>IF(ISNUMBER(
   IF(J_V="SI",(Datos!J31-Datos!T31)/Datos!T31,(Datos!J31+Datos!Z31-(Datos!T31+Datos!AH31))/(Datos!T31+Datos!AH31))
     ),IF(J_V="SI",(Datos!J31-Datos!T31)/Datos!T31,(Datos!J31+Datos!Z31-(Datos!T31+Datos!AH31))/(Datos!T31+Datos!AH31))," - ")</f>
        <v>1.6877637130801686E-2</v>
      </c>
      <c r="D31" s="1092">
        <f>IF(ISNUMBER(
   IF(J_V="SI",(Datos!K31-Datos!U31)/Datos!U31,(Datos!K31+Datos!AA31-(Datos!U31+Datos!AI31))/(Datos!U31+Datos!AI31))
     ),IF(J_V="SI",(Datos!K31-Datos!U31)/Datos!U31,(Datos!K31+Datos!AA31-(Datos!U31+Datos!AI31))/(Datos!U31+Datos!AI31))," - ")</f>
        <v>-0.24867724867724866</v>
      </c>
      <c r="E31" s="1092">
        <f>IF(ISNUMBER(
   IF(J_V="SI",(Datos!L31-Datos!V31)/Datos!V31,(Datos!L31+Datos!AB31-(Datos!V31+Datos!AJ31))/(Datos!V31+Datos!AJ31))
     ),IF(J_V="SI",(Datos!L31-Datos!V31)/Datos!V31,(Datos!L31+Datos!AB31-(Datos!V31+Datos!AJ31))/(Datos!V31+Datos!AJ31))," - ")</f>
        <v>0.38771186440677968</v>
      </c>
      <c r="F31" s="1093">
        <f>IF(ISNUMBER((Datos!M31-Datos!W31)/Datos!W31),(Datos!M31-Datos!W31)/Datos!W31," - ")</f>
        <v>-0.18620689655172415</v>
      </c>
      <c r="G31" s="1094">
        <f>IF(ISNUMBER((Datos!N31-Datos!X31)/Datos!X31),(Datos!N31-Datos!X31)/Datos!X31," - ")</f>
        <v>-0.13535911602209943</v>
      </c>
      <c r="H31" s="1095">
        <f>IF(ISNUMBER((Tasas!B31-Datos!BD31)/Datos!BD31),(Tasas!B31-Datos!BD31)/Datos!BD31," - ")</f>
        <v>-0.26114733583613248</v>
      </c>
      <c r="I31" s="1096">
        <f>IF(ISNUMBER((Tasas!C31-Datos!BE31)/Datos!BE31),(Tasas!C31-Datos!BE31)/Datos!BE31," - ")</f>
        <v>0.84702494628789693</v>
      </c>
      <c r="J31" s="1097">
        <f>IF(ISNUMBER((Tasas!D31-Datos!BF31)/Datos!BF31),(Tasas!D31-Datos!BF31)/Datos!BF31," - ")</f>
        <v>-0.25211267605633808</v>
      </c>
      <c r="K31" s="1097">
        <f>IF(ISNUMBER((Tasas!E31-Datos!BG31)/Datos!BG31),(Tasas!E31-Datos!BG31)/Datos!BG31," - ")</f>
        <v>0.47729997003296371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zXBGxqk5tp51uV9YbQKKyvux4IHeiDxtNFrNICFpXSjY4saXGQUpErz+qql+3RohJ/Un5KFG7ynyJzzo4YUKQ==" saltValue="YYfmKtXNyYxFP/H5XuSP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CORIA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20</v>
      </c>
      <c r="D10" s="499">
        <f>IF(ISNUMBER('Resol  Asuntos'!D10/NºAsuntos!G10),'Resol  Asuntos'!D10/NºAsuntos!G10," - ")</f>
        <v>0</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0.61576354679802958</v>
      </c>
      <c r="C12" s="498">
        <f>IF(ISNUMBER(NºAsuntos!I12/NºAsuntos!G12),NºAsuntos!I12/NºAsuntos!G12," - ")</f>
        <v>3.528</v>
      </c>
      <c r="D12" s="499">
        <f>IF(ISNUMBER('Resol  Asuntos'!D12/NºAsuntos!G12),'Resol  Asuntos'!D12/NºAsuntos!G12," - ")</f>
        <v>0.22800000000000001</v>
      </c>
      <c r="E12" s="500">
        <f>IF(ISNUMBER((NºAsuntos!C12+NºAsuntos!E12)/NºAsuntos!G12),(NºAsuntos!C12+NºAsuntos!E12)/NºAsuntos!G12," - ")</f>
        <v>4.5279999999999996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0.61670761670761676</v>
      </c>
      <c r="C14" s="1156">
        <f>IF(ISNUMBER(NºAsuntos!I14/NºAsuntos!G14),NºAsuntos!I14/NºAsuntos!G14," - ")</f>
        <v>3.593625498007968</v>
      </c>
      <c r="D14" s="1157">
        <f>IF(ISNUMBER('Resol  Asuntos'!D14/NºAsuntos!G14),'Resol  Asuntos'!D14/NºAsuntos!G14," - ")</f>
        <v>0.22709163346613545</v>
      </c>
      <c r="E14" s="1158">
        <f>IF(ISNUMBER((NºAsuntos!C14+NºAsuntos!E14)/NºAsuntos!G14),(NºAsuntos!C14+NºAsuntos!E14)/NºAsuntos!G14," - ")</f>
        <v>4.5936254980079685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1.0530035335689045</v>
      </c>
      <c r="C17" s="498">
        <f>IF(ISNUMBER(NºAsuntos!I17/NºAsuntos!G17),NºAsuntos!I17/NºAsuntos!G17," - ")</f>
        <v>1.0704697986577181</v>
      </c>
      <c r="D17" s="499">
        <f>IF(ISNUMBER('Resol  Asuntos'!D17/NºAsuntos!G17),'Resol  Asuntos'!D17/NºAsuntos!G17," - ")</f>
        <v>0.20134228187919462</v>
      </c>
      <c r="E17" s="500">
        <f>IF(ISNUMBER((NºAsuntos!C17+NºAsuntos!E17)/NºAsuntos!G17),(NºAsuntos!C17+NºAsuntos!E17)/NºAsuntos!G17," - ")</f>
        <v>2.0704697986577183</v>
      </c>
      <c r="G17" s="523"/>
    </row>
    <row r="18" spans="1:7">
      <c r="A18" s="450" t="str">
        <f>Datos!A18</f>
        <v>Jdos. Violencia contra la mujer</v>
      </c>
      <c r="B18" s="497">
        <f>IF(ISNUMBER(NºAsuntos!G18/NºAsuntos!E18),NºAsuntos!G18/NºAsuntos!E18," - ")</f>
        <v>0.5757575757575758</v>
      </c>
      <c r="C18" s="498">
        <f>IF(ISNUMBER(NºAsuntos!I18/NºAsuntos!G18),NºAsuntos!I18/NºAsuntos!G18," - ")</f>
        <v>4.6842105263157894</v>
      </c>
      <c r="D18" s="499">
        <f>IF(ISNUMBER('Resol  Asuntos'!D18/NºAsuntos!G18),'Resol  Asuntos'!D18/NºAsuntos!G18," - ")</f>
        <v>5.2631578947368418E-2</v>
      </c>
      <c r="E18" s="500">
        <f>IF(ISNUMBER((NºAsuntos!C18+NºAsuntos!E18)/NºAsuntos!G18),(NºAsuntos!C18+NºAsuntos!E18)/NºAsuntos!G18," - ")</f>
        <v>5.6842105263157894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1.0031645569620253</v>
      </c>
      <c r="C23" s="1156">
        <f>IF(ISNUMBER(NºAsuntos!I23/NºAsuntos!G23),NºAsuntos!I23/NºAsuntos!G23," - ")</f>
        <v>1.2870662460567823</v>
      </c>
      <c r="D23" s="1159">
        <f>IF(ISNUMBER('Resol  Asuntos'!D23/NºAsuntos!G23),'Resol  Asuntos'!D23/NºAsuntos!G23," - ")</f>
        <v>0.19242902208201892</v>
      </c>
      <c r="E23" s="1158">
        <f>IF(ISNUMBER((NºAsuntos!C23+NºAsuntos!E23)/NºAsuntos!G23),(NºAsuntos!C23+NºAsuntos!E23)/NºAsuntos!G23," - ")</f>
        <v>2.2870662460567823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0.78561549100968187</v>
      </c>
      <c r="C31" s="1099">
        <f>IF(ISNUMBER(NºAsuntos!I31/NºAsuntos!G31),NºAsuntos!I31/NºAsuntos!G31," - ")</f>
        <v>2.306338028169014</v>
      </c>
      <c r="D31" s="1100">
        <f>IF(ISNUMBER('Resol  Asuntos'!D31/NºAsuntos!G31),'Resol  Asuntos'!D31/NºAsuntos!G31," - ")</f>
        <v>0.20774647887323944</v>
      </c>
      <c r="E31" s="1101">
        <f>IF(ISNUMBER((NºAsuntos!C31+NºAsuntos!E31)/NºAsuntos!G31),(NºAsuntos!C31+NºAsuntos!E31)/NºAsuntos!G31," - ")</f>
        <v>3.306338028169014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FeRp4guAtTO7y1YMHjfnwLvHB+mcYb+ut2IY+zFNbB2qrqvHgEybc9y2D648YX7lp+42uBR0/Zq0Ctd1KhBQ==" saltValue="0ld027Qu6XcSewE5j5gm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20</v>
      </c>
      <c r="AB10" s="374">
        <f>IF(ISNUMBER(Datos!R10),Datos!R10," - ")</f>
        <v>6</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60</v>
      </c>
      <c r="AN10" s="267">
        <f>IF(ISNUMBER('Resol  Asuntos'!D10/NºAsuntos!G10),'Resol  Asuntos'!D10/NºAsuntos!G10," - ")</f>
        <v>0</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0.61576354679802958</v>
      </c>
      <c r="AM12" s="284">
        <f>IF(ISNUMBER(((NºAsuntos!I12/NºAsuntos!G12)*11)/factor_trimestre),((NºAsuntos!I12/NºAsuntos!G12)*11)/factor_trimestre," - ")</f>
        <v>10.584</v>
      </c>
      <c r="AN12" s="267">
        <f>IF(ISNUMBER('Resol  Asuntos'!D12/NºAsuntos!G12),'Resol  Asuntos'!D12/NºAsuntos!G12," - ")</f>
        <v>0.22800000000000001</v>
      </c>
      <c r="AO12" s="268">
        <f>IF(ISNUMBER((NºAsuntos!C12+NºAsuntos!E12)/NºAsuntos!G12),(NºAsuntos!C12+NºAsuntos!E12)/NºAsuntos!G12," - ")</f>
        <v>4.5279999999999996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20</v>
      </c>
      <c r="G14" s="1163">
        <f t="shared" si="5"/>
        <v>20</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33</v>
      </c>
      <c r="Y14" s="1165">
        <f t="shared" si="6"/>
        <v>34</v>
      </c>
      <c r="Z14" s="1165">
        <f t="shared" si="6"/>
        <v>0</v>
      </c>
      <c r="AA14" s="1165">
        <f t="shared" si="6"/>
        <v>20</v>
      </c>
      <c r="AB14" s="1165">
        <f t="shared" si="6"/>
        <v>1297</v>
      </c>
      <c r="AC14" s="1165">
        <f t="shared" si="6"/>
        <v>26</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0.61670761670761676</v>
      </c>
      <c r="AM14" s="1171">
        <f>IF(ISNUMBER(((NºAsuntos!I14/NºAsuntos!G14)*11)/factor_trimestre),((NºAsuntos!I14/NºAsuntos!G14)*11)/factor_trimestre," - ")</f>
        <v>10.780876494023904</v>
      </c>
      <c r="AN14" s="1172">
        <f>IF(ISNUMBER('Resol  Asuntos'!D14/NºAsuntos!G14),'Resol  Asuntos'!D14/NºAsuntos!G14," - ")</f>
        <v>0.22709163346613545</v>
      </c>
      <c r="AO14" s="1173">
        <f>IF(ISNUMBER((NºAsuntos!C14+NºAsuntos!E14)/NºAsuntos!G14),(NºAsuntos!C14+NºAsuntos!E14)/NºAsuntos!G14," - ")</f>
        <v>4.5936254980079685</v>
      </c>
      <c r="AP14" s="1174" t="str">
        <f t="shared" si="2"/>
        <v xml:space="preserve"> - </v>
      </c>
      <c r="AQ14" s="1174">
        <f>IF(ISNUMBER((H14-W14+K14)/(F14)),(H14-W14+K14)/(F14)," - ")</f>
        <v>-0.05</v>
      </c>
      <c r="AR14" s="1175">
        <f>IF(ISNUMBER((Datos!P14-Datos!Q14)/(Datos!R14-Datos!P14+Datos!Q14)),(Datos!P14-Datos!Q14)/(Datos!R14-Datos!P14+Datos!Q14)," - ")</f>
        <v>3.1821797931583136E-2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334</v>
      </c>
      <c r="G17" s="373">
        <f>IF(ISNUMBER(IF(D_I="SI",Datos!I17,Datos!I17+Datos!AC17)),IF(D_I="SI",Datos!I17,Datos!I17+Datos!AC17)," - ")</f>
        <v>334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298</v>
      </c>
      <c r="X17" s="240">
        <f>IF(ISNUMBER(Datos!Q17),Datos!Q17," - ")</f>
        <v>7</v>
      </c>
      <c r="Y17" s="374">
        <f t="shared" ref="Y17:Y22" si="9">SUM(W17:X17)</f>
        <v>305</v>
      </c>
      <c r="Z17" s="375" t="str">
        <f>IF(ISNUMBER(Datos!CC17),Datos!CC17," - ")</f>
        <v xml:space="preserve"> - </v>
      </c>
      <c r="AA17" s="372">
        <f>IF(ISNUMBER(IF(D_I="SI",Datos!L17,Datos!L17+Datos!AF17)),IF(D_I="SI",Datos!L17,Datos!L17+Datos!AF17)," - ")</f>
        <v>319</v>
      </c>
      <c r="AB17" s="374">
        <f>IF(ISNUMBER(Datos!R17),Datos!R17," - ")</f>
        <v>73</v>
      </c>
      <c r="AC17" s="374">
        <f t="shared" si="8"/>
        <v>392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1.0530035335689045</v>
      </c>
      <c r="AM17" s="284">
        <f>IF(ISNUMBER(((NºAsuntos!I17/NºAsuntos!G17)*11)/factor_trimestre),((NºAsuntos!I17/NºAsuntos!G17)*11)/factor_trimestre," - ")</f>
        <v>3.2114093959731544</v>
      </c>
      <c r="AN17" s="267">
        <f>IF(ISNUMBER('Resol  Asuntos'!D17/NºAsuntos!G17),'Resol  Asuntos'!D17/NºAsuntos!G17," - ")</f>
        <v>0.20134228187919462</v>
      </c>
      <c r="AO17" s="268">
        <f>IF(ISNUMBER((NºAsuntos!C17+NºAsuntos!E17)/NºAsuntos!G17),(NºAsuntos!C17+NºAsuntos!E17)/NºAsuntos!G17," - ")</f>
        <v>2.0704697986577183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89</v>
      </c>
      <c r="AB18" s="374">
        <f>IF(ISNUMBER(Datos!R18),Datos!R18," - ")</f>
        <v>0</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0.5757575757575758</v>
      </c>
      <c r="AM18" s="284">
        <f>IF(ISNUMBER(((NºAsuntos!I18/NºAsuntos!G18)*11)/factor_trimestre),((NºAsuntos!I18/NºAsuntos!G18)*11)/factor_trimestre," - ")</f>
        <v>14.05263157894737</v>
      </c>
      <c r="AN18" s="267">
        <f>IF(ISNUMBER('Resol  Asuntos'!D18/NºAsuntos!G18),'Resol  Asuntos'!D18/NºAsuntos!G18," - ")</f>
        <v>5.2631578947368418E-2</v>
      </c>
      <c r="AO18" s="268">
        <f>IF(ISNUMBER((NºAsuntos!C18+NºAsuntos!E18)/NºAsuntos!G18),(NºAsuntos!C18+NºAsuntos!E18)/NºAsuntos!G18," - ")</f>
        <v>5.6842105263157894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334</v>
      </c>
      <c r="G23" s="1163">
        <f>SUBTOTAL(9,G16:G22)</f>
        <v>409</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317</v>
      </c>
      <c r="X23" s="1164">
        <f t="shared" si="14"/>
        <v>7</v>
      </c>
      <c r="Y23" s="1165">
        <f t="shared" si="14"/>
        <v>324</v>
      </c>
      <c r="Z23" s="1165">
        <f t="shared" si="14"/>
        <v>0</v>
      </c>
      <c r="AA23" s="1165">
        <f t="shared" si="14"/>
        <v>408</v>
      </c>
      <c r="AB23" s="1165">
        <f t="shared" si="14"/>
        <v>73</v>
      </c>
      <c r="AC23" s="1165">
        <f t="shared" si="14"/>
        <v>481</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1.0031645569620253</v>
      </c>
      <c r="AM23" s="1171">
        <f>IF(ISNUMBER(((NºAsuntos!I23/NºAsuntos!G23)*11)/factor_trimestre),((NºAsuntos!I23/NºAsuntos!G23)*11)/factor_trimestre," - ")</f>
        <v>3.8611987381703474</v>
      </c>
      <c r="AN23" s="1172">
        <f>IF(ISNUMBER('Resol  Asuntos'!D23/NºAsuntos!G23),'Resol  Asuntos'!D23/NºAsuntos!G23," - ")</f>
        <v>0.19242902208201892</v>
      </c>
      <c r="AO23" s="1173">
        <f>IF(ISNUMBER((NºAsuntos!C23+NºAsuntos!E23)/NºAsuntos!G23),(NºAsuntos!C23+NºAsuntos!E23)/NºAsuntos!G23," - ")</f>
        <v>2.2870662460567823</v>
      </c>
      <c r="AP23" s="1174" t="str">
        <f t="shared" si="2"/>
        <v xml:space="preserve"> - </v>
      </c>
      <c r="AQ23" s="1174">
        <f>IF(ISNUMBER((H23-W23+K23)/(F23)),(H23-W23+K23)/(F23)," - ")</f>
        <v>-0.94910179640718562</v>
      </c>
      <c r="AR23" s="1175">
        <f>IF(ISNUMBER((Datos!P23-Datos!Q23)/(Datos!R23-Datos!P23+Datos!Q23)),(Datos!P23-Datos!Q23)/(Datos!R23-Datos!P23+Datos!Q23)," - ")</f>
        <v>0.15873015873015872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354</v>
      </c>
      <c r="G31" s="1118">
        <f t="shared" si="20"/>
        <v>429</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v>
      </c>
      <c r="X31" s="1118">
        <f t="shared" si="21"/>
        <v>40</v>
      </c>
      <c r="Y31" s="1125">
        <f t="shared" si="21"/>
        <v>358</v>
      </c>
      <c r="Z31" s="1125">
        <f t="shared" si="21"/>
        <v>0</v>
      </c>
      <c r="AA31" s="1125">
        <f t="shared" si="21"/>
        <v>428</v>
      </c>
      <c r="AB31" s="1125">
        <f t="shared" si="21"/>
        <v>1370</v>
      </c>
      <c r="AC31" s="1125">
        <f t="shared" si="21"/>
        <v>507</v>
      </c>
      <c r="AD31" s="1125">
        <f t="shared" si="21"/>
        <v>0</v>
      </c>
      <c r="AE31" s="1127">
        <f t="shared" si="21"/>
        <v>0</v>
      </c>
      <c r="AF31" s="1128">
        <f t="shared" si="21"/>
        <v>0</v>
      </c>
      <c r="AG31" s="1129">
        <f t="shared" si="21"/>
        <v>0</v>
      </c>
      <c r="AH31" s="1127">
        <f t="shared" si="21"/>
        <v>0</v>
      </c>
      <c r="AI31" s="1117">
        <f t="shared" si="21"/>
        <v>118</v>
      </c>
      <c r="AJ31" s="1117">
        <f t="shared" si="21"/>
        <v>0</v>
      </c>
      <c r="AK31" s="1127">
        <f t="shared" si="21"/>
        <v>0</v>
      </c>
      <c r="AL31" s="1183">
        <f>IF(ISNUMBER(NºAsuntos!G31/NºAsuntos!E31),NºAsuntos!G31/NºAsuntos!E31," - ")</f>
        <v>0.78561549100968187</v>
      </c>
      <c r="AM31" s="1184">
        <f>IF(ISNUMBER(((NºAsuntos!I31/NºAsuntos!G31)*11)/factor_trimestre),((NºAsuntos!I31/NºAsuntos!G31)*11)/factor_trimestre," - ")</f>
        <v>6.919014084507042</v>
      </c>
      <c r="AN31" s="1184">
        <f>IF(ISNUMBER('Resol  Asuntos'!D31/NºAsuntos!G31),'Resol  Asuntos'!D31/NºAsuntos!G31," - ")</f>
        <v>0.20774647887323944</v>
      </c>
      <c r="AO31" s="1185">
        <f>IF(ISNUMBER((NºAsuntos!C31+NºAsuntos!E31)/NºAsuntos!G31),(NºAsuntos!C31+NºAsuntos!E31)/NºAsuntos!G31," - ")</f>
        <v>3.306338028169014</v>
      </c>
      <c r="AP31" s="1186" t="str">
        <f t="shared" si="2"/>
        <v xml:space="preserve"> - </v>
      </c>
      <c r="AQ31" s="1187">
        <f>IF(OR(ISNUMBER(FIND("01",Criterios!A8,1)),ISNUMBER(FIND("02",Criterios!A8,1)),ISNUMBER(FIND("03",Criterios!A8,1)),ISNUMBER(FIND("04",Criterios!A8,1))),(I31-W31+K31)/(F31-K31),(H31-W31+K31)/(F31-K31))</f>
        <v>-0.89830508474576276</v>
      </c>
      <c r="AR31" s="1188">
        <f>IF(ISNUMBER((Datos!P31-Datos!Q31)/(Datos!R31-Datos!P31+Datos!Q31)),(Datos!P31-Datos!Q31)/(Datos!R31-Datos!P31+Datos!Q31)," - ")</f>
        <v>3.787878787878788E-2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167.55178304034845</v>
      </c>
      <c r="G33" s="277">
        <f>IF(ISNUMBER(STDEV(G8:G30)),STDEV(G8:G30),"-")</f>
        <v>173.25112519389992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148.25139523955986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31.300387948303225</v>
      </c>
      <c r="AJ33" s="276">
        <f t="shared" si="25"/>
        <v>0</v>
      </c>
      <c r="AK33" s="278">
        <f t="shared" si="25"/>
        <v>0</v>
      </c>
      <c r="AL33" s="273">
        <f t="shared" si="25"/>
        <v>0.22909356162096842</v>
      </c>
      <c r="AM33" s="274">
        <f t="shared" si="25"/>
        <v>21.448742749102585</v>
      </c>
      <c r="AN33" s="274">
        <f t="shared" si="25"/>
        <v>9.8431304907493328E-2</v>
      </c>
      <c r="AO33" s="275">
        <f t="shared" si="25"/>
        <v>7.1495809163675315</v>
      </c>
      <c r="AP33" s="317" t="str">
        <f t="shared" si="25"/>
        <v>-</v>
      </c>
      <c r="AQ33" s="318">
        <f t="shared" si="25"/>
        <v>0.63576097721652758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8JYVCN0ZaVlZ0niaPzSOXa50hz1IaNEAqL9gG+WHwp9H42/F/h1tL4x0xxT6sz7WS4+ka2eQi3ob4/dO3DIbg==" saltValue="qxOk7Z4ToyNIChC6hQCZ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CORIA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0.53846153846153844</v>
      </c>
      <c r="E10" s="393">
        <f>IF(ISNUMBER((Datos!J10-Datos!T10)/Datos!T10),(Datos!J10-Datos!T10)/Datos!T10," - ")</f>
        <v>-0.5</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-0.40625</v>
      </c>
      <c r="I12" s="395">
        <f>IF(ISNUMBER((Tasas!C12-Datos!BE12)/Datos!BE12),(Tasas!C12-Datos!BE12)/Datos!BE12," - ")</f>
        <v>1.1522634315424611</v>
      </c>
      <c r="J12" s="394">
        <f>IF(ISNUMBER((Tasas!D12-Datos!BF12)/Datos!BF12),(Tasas!D12-Datos!BF12)/Datos!BF12," - ")</f>
        <v>-0.50151552795031051</v>
      </c>
      <c r="K12" s="396">
        <f>IF(ISNUMBER((Tasas!E12-Datos!BG12)/Datos!BG12),(Tasas!E12-Datos!BG12)/Datos!BG12," - ")</f>
        <v>0.71566846071044121</v>
      </c>
      <c r="M12" t="e">
        <f>IF(Monitorios="SI",Datos!CE12,0)</f>
        <v>#REF!</v>
      </c>
      <c r="N12" t="e">
        <f>IF(Monitorios="SI",Datos!CF12,0)</f>
        <v>#REF!</v>
      </c>
      <c r="O12" t="e">
        <f>IF(Monitorios="SI",Datos!CG12,0)</f>
        <v>#REF!</v>
      </c>
      <c r="P12" t="e">
        <f>IF(Monitorios="SI",Datos!CH12,0)</f>
        <v>#REF!</v>
      </c>
      <c r="Q12">
        <f>IF(J_V="SI",0,Datos!AG12)</f>
        <v>13</v>
      </c>
      <c r="R12">
        <f>IF(J_V="SI",0,Datos!AH12)</f>
        <v>34</v>
      </c>
      <c r="S12">
        <f>IF(J_V="SI",0,Datos!AI12)</f>
        <v>26</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-0.40625</v>
      </c>
      <c r="I14" s="402">
        <f>IF(ISNUMBER((Tasas!C14-Datos!BE14)/Datos!BE14),(Tasas!C14-Datos!BE14)/Datos!BE14," - ")</f>
        <v>1.1367502961128457</v>
      </c>
      <c r="J14" s="400">
        <f>IF(ISNUMBER((Tasas!D14-Datos!BF14)/Datos!BF14),(Tasas!D14-Datos!BF14)/Datos!BF14," - ")</f>
        <v>-0.50350152186285912</v>
      </c>
      <c r="K14" s="403">
        <f>IF(ISNUMBER((Tasas!E14-Datos!BG14)/Datos!BG14),(Tasas!E14-Datos!BG14)/Datos!BG14," - ")</f>
        <v>0.71287730434195451</v>
      </c>
      <c r="M14" t="e">
        <f>IF(Monitorios="SI",Datos!CE14,0)</f>
        <v>#REF!</v>
      </c>
      <c r="N14" t="e">
        <f>IF(Monitorios="SI",Datos!CF14,0)</f>
        <v>#REF!</v>
      </c>
      <c r="O14" t="e">
        <f>IF(Monitorios="SI",Datos!CG14,0)</f>
        <v>#REF!</v>
      </c>
      <c r="P14" t="e">
        <f>IF(Monitorios="SI",Datos!CH14,0)</f>
        <v>#REF!</v>
      </c>
      <c r="Q14">
        <f>IF(J_V="SI",0,Datos!AG14)</f>
        <v>13</v>
      </c>
      <c r="R14">
        <f>IF(J_V="SI",0,Datos!AH14)</f>
        <v>34</v>
      </c>
      <c r="S14">
        <f>IF(J_V="SI",0,Datos!AI14)</f>
        <v>26</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-1.1834319526627219E-2</v>
      </c>
      <c r="E17" s="393">
        <f>IF(ISNUMBER(
   IF(D_I="SI",(Datos!J17-Datos!T17)/Datos!T17,(Datos!J17+Datos!AD17-(Datos!T17+Datos!AL17))/(Datos!T17+Datos!AL17))
     ),IF(D_I="SI",(Datos!J17-Datos!T17)/Datos!T17,(Datos!J17+Datos!AD17-(Datos!T17+Datos!AL17))/(Datos!T17+Datos!AL17))," - ")</f>
        <v>-0.11006289308176101</v>
      </c>
      <c r="F17" s="393">
        <f>IF(ISNUMBER(
   IF(D_I="SI",(Datos!K17-Datos!U17)/Datos!U17,(Datos!K17+Datos!AE17-(Datos!U17+Datos!AM17))/(Datos!U17+Datos!AM17))
     ),IF(D_I="SI",(Datos!K17-Datos!U17)/Datos!U17,(Datos!K17+Datos!AE17-(Datos!U17+Datos!AM17))/(Datos!U17+Datos!AM17))," - ")</f>
        <v>-0.20954907161803712</v>
      </c>
      <c r="G17" s="394">
        <f>IF(ISNUMBER(
   IF(D_I="SI",(Datos!L17-Datos!V17)/Datos!V17,(Datos!L17+Datos!AF17-(Datos!V17+Datos!AN17))/(Datos!V17+Datos!AN17))
     ),IF(D_I="SI",(Datos!L17-Datos!V17)/Datos!V17,(Datos!L17+Datos!AF17-(Datos!V17+Datos!AN17))/(Datos!V17+Datos!AN17))," - ")</f>
        <v>0.11149825783972125</v>
      </c>
      <c r="H17" s="244">
        <f>IF(ISNUMBER((Datos!M17-Datos!W17)/Datos!W17),(Datos!M17-Datos!W17)/Datos!W17," - ")</f>
        <v>0.25</v>
      </c>
      <c r="I17" s="395">
        <f>IF(ISNUMBER((Tasas!C17-Datos!BE17)/Datos!BE17),(Tasas!C17-Datos!BE17)/Datos!BE17," - ")</f>
        <v>0.40615719196501643</v>
      </c>
      <c r="J17" s="394">
        <f>IF(ISNUMBER((Tasas!D17-Datos!BF17)/Datos!BF17),(Tasas!D17-Datos!BF17)/Datos!BF17," - ")</f>
        <v>0.58137583892617439</v>
      </c>
      <c r="K17" s="396">
        <f>IF(ISNUMBER((Tasas!E17-Datos!BG17)/Datos!BG17),(Tasas!E17-Datos!BG17)/Datos!BG17," - ")</f>
        <v>0.18988889343591436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0.7441860465116279</v>
      </c>
      <c r="E18" s="393">
        <f>IF(ISNUMBER(
   IF(D_I="SI",(Datos!J18-Datos!T18)/Datos!T18,(Datos!J18+Datos!AD18-(Datos!T18+Datos!AL18))/(Datos!T18+Datos!AL18))
     ),IF(D_I="SI",(Datos!J18-Datos!T18)/Datos!T18,(Datos!J18+Datos!AD18-(Datos!T18+Datos!AL18))/(Datos!T18+Datos!AL18))," - ")</f>
        <v>-0.32653061224489793</v>
      </c>
      <c r="F18" s="393">
        <f>IF(ISNUMBER(
   IF(D_I="SI",(Datos!K18-Datos!U18)/Datos!U18,(Datos!K18+Datos!AE18-(Datos!U18+Datos!AM18))/(Datos!U18+Datos!AM18))
     ),IF(D_I="SI",(Datos!K18-Datos!U18)/Datos!U18,(Datos!K18+Datos!AE18-(Datos!U18+Datos!AM18))/(Datos!U18+Datos!AM18))," - ")</f>
        <v>-0.29629629629629628</v>
      </c>
      <c r="G18" s="394">
        <f>IF(ISNUMBER(
   IF(D_I="SI",(Datos!L18-Datos!V18)/Datos!V18,(Datos!L18+Datos!AF18-(Datos!V18+Datos!AN18))/(Datos!V18+Datos!AN18))
     ),IF(D_I="SI",(Datos!L18-Datos!V18)/Datos!V18,(Datos!L18+Datos!AF18-(Datos!V18+Datos!AN18))/(Datos!V18+Datos!AN18))," - ")</f>
        <v>0.36923076923076925</v>
      </c>
      <c r="H18" s="244">
        <f>IF(ISNUMBER((Datos!M18-Datos!W18)/Datos!W18),(Datos!M18-Datos!W18)/Datos!W18," - ")</f>
        <v>0</v>
      </c>
      <c r="I18" s="395">
        <f>IF(ISNUMBER((Tasas!C18-Datos!BE18)/Datos!BE18),(Tasas!C18-Datos!BE18)/Datos!BE18," - ")</f>
        <v>0.94574898785425099</v>
      </c>
      <c r="J18" s="394">
        <f>IF(ISNUMBER((Tasas!D18-Datos!BF18)/Datos!BF18),(Tasas!D18-Datos!BF18)/Datos!BF18," - ")</f>
        <v>0.42105263157894735</v>
      </c>
      <c r="K18" s="396">
        <f>IF(ISNUMBER((Tasas!E18-Datos!BG18)/Datos!BG18),(Tasas!E18-Datos!BG18)/Datos!BG18," - ")</f>
        <v>0.66819221967963383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7.3490813648293962E-2</v>
      </c>
      <c r="E23" s="399">
        <f>IF(ISNUMBER(
   IF(D_I="SI",(Datos!J23-Datos!T23)/Datos!T23,(Datos!J23+Datos!AD23-(Datos!T23+Datos!AL23))/(Datos!T23+Datos!AL23))
     ),IF(D_I="SI",(Datos!J23-Datos!T23)/Datos!T23,(Datos!J23+Datos!AD23-(Datos!T23+Datos!AL23))/(Datos!T23+Datos!AL23))," - ")</f>
        <v>-0.13896457765667575</v>
      </c>
      <c r="F23" s="399">
        <f>IF(ISNUMBER(
   IF(D_I="SI",(Datos!K23-Datos!U23)/Datos!U23,(Datos!K23+Datos!AE23-(Datos!U23+Datos!AM23))/(Datos!U23+Datos!AM23))
     ),IF(D_I="SI",(Datos!K23-Datos!U23)/Datos!U23,(Datos!K23+Datos!AE23-(Datos!U23+Datos!AM23))/(Datos!U23+Datos!AM23))," - ")</f>
        <v>-0.21534653465346534</v>
      </c>
      <c r="G23" s="400">
        <f>IF(ISNUMBER(
   IF(D_I="SI",(Datos!L23-Datos!V23)/Datos!V23,(Datos!L23+Datos!AF23-(Datos!V23+Datos!AN23))/(Datos!V23+Datos!AN23))
     ),IF(D_I="SI",(Datos!L23-Datos!V23)/Datos!V23,(Datos!L23+Datos!AF23-(Datos!V23+Datos!AN23))/(Datos!V23+Datos!AN23))," - ")</f>
        <v>0.15909090909090909</v>
      </c>
      <c r="H23" s="401">
        <f>IF(ISNUMBER((Datos!M23-Datos!W23)/Datos!W23),(Datos!M23-Datos!W23)/Datos!W23," - ")</f>
        <v>0.24489795918367346</v>
      </c>
      <c r="I23" s="402">
        <f>IF(ISNUMBER((Tasas!C23-Datos!BE23)/Datos!BE23),(Tasas!C23-Datos!BE23)/Datos!BE23," - ")</f>
        <v>0.47720103240607969</v>
      </c>
      <c r="J23" s="400">
        <f>IF(ISNUMBER((Tasas!D23-Datos!BF23)/Datos!BF23),(Tasas!D23-Datos!BF23)/Datos!BF23," - ")</f>
        <v>0.58655765145174787</v>
      </c>
      <c r="K23" s="403">
        <f>IF(ISNUMBER((Tasas!E23-Datos!BG23)/Datos!BG23),(Tasas!E23-Datos!BG23)/Datos!BG23," - ")</f>
        <v>0.23526037888628346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0.17737003058103976</v>
      </c>
      <c r="E31" s="409">
        <f>IF(ISNUMBER(
   IF(J_V="SI",(Datos!J31-Datos!T31)/Datos!T31,(Datos!J31+Datos!Z31-(Datos!T31+Datos!AH31))/(Datos!T31+Datos!AH31))
     ),IF(J_V="SI",(Datos!J31-Datos!T31)/Datos!T31,(Datos!J31+Datos!Z31-(Datos!T31+Datos!AH31))/(Datos!T31+Datos!AH31))," - ")</f>
        <v>1.6877637130801686E-2</v>
      </c>
      <c r="F31" s="409">
        <f>IF(ISNUMBER(
   IF(J_V="SI",(Datos!K31-Datos!U31)/Datos!U31,(Datos!K31+Datos!AA31-(Datos!U31+Datos!AI31))/(Datos!U31+Datos!AI31))
     ),IF(J_V="SI",(Datos!K31-Datos!U31)/Datos!U31,(Datos!K31+Datos!AA31-(Datos!U31+Datos!AI31))/(Datos!U31+Datos!AI31))," - ")</f>
        <v>-0.24867724867724866</v>
      </c>
      <c r="G31" s="410">
        <f>IF(ISNUMBER(
   IF(J_V="SI",(Datos!L31-Datos!V31)/Datos!V31,(Datos!L31+Datos!AB31-(Datos!V31+Datos!AJ31))/(Datos!V31+Datos!AJ31))
     ),IF(J_V="SI",(Datos!L31-Datos!V31)/Datos!V31,(Datos!L31+Datos!AB31-(Datos!V31+Datos!AJ31))/(Datos!V31+Datos!AJ31))," - ")</f>
        <v>0.38771186440677968</v>
      </c>
      <c r="H31" s="411">
        <f>IF(ISNUMBER((Datos!M31-Datos!W31)/Datos!W31),(Datos!M31-Datos!W31)/Datos!W31," - ")</f>
        <v>-0.18620689655172415</v>
      </c>
      <c r="I31" s="408">
        <f>IF(ISNUMBER((Tasas!C31-Datos!BE31)/Datos!BE31),(Tasas!C31-Datos!BE31)/Datos!BE31," - ")</f>
        <v>0.84702494628789693</v>
      </c>
      <c r="J31" s="409">
        <f>IF(ISNUMBER((Tasas!D31-Datos!BF31)/Datos!BF31),(Tasas!D31-Datos!BF31)/Datos!BF31," - ")</f>
        <v>-0.25211267605633808</v>
      </c>
      <c r="K31" s="410">
        <f>IF(ISNUMBER((Tasas!E31-Datos!BG31)/Datos!BG31),(Tasas!E31-Datos!BG31)/Datos!BG31," - ")</f>
        <v>0.47729997003296371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0.36400837296531535</v>
      </c>
      <c r="E33" s="303">
        <f t="shared" si="1"/>
        <v>0.18151302757851559</v>
      </c>
      <c r="F33" s="303">
        <f t="shared" si="1"/>
        <v>4.849665878019975E-2</v>
      </c>
      <c r="G33" s="304">
        <f t="shared" si="1"/>
        <v>0.12705304591973851</v>
      </c>
      <c r="H33" s="310">
        <f t="shared" si="1"/>
        <v>0.32877763159398066</v>
      </c>
      <c r="I33" s="302">
        <f t="shared" si="1"/>
        <v>0.35890593274130433</v>
      </c>
      <c r="J33" s="303">
        <f t="shared" si="1"/>
        <v>0.56924526677274156</v>
      </c>
      <c r="K33" s="304">
        <f t="shared" si="1"/>
        <v>0.26752495650286273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FwQDrwTO0N3sJiK5lJ25PwEaSktKqQwvCnpn0GhkIq0BKN50Ti/XfLIvclxh5VRTvt7D5DRnbuUmvWWv/O3lw==" saltValue="40eIKpTwYVYNYYZCxLIt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